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salazar\Desktop\Releases  In Process\"/>
    </mc:Choice>
  </mc:AlternateContent>
  <bookViews>
    <workbookView xWindow="0" yWindow="660" windowWidth="2160" windowHeight="1395" tabRatio="725"/>
  </bookViews>
  <sheets>
    <sheet name="Cover Sheet" sheetId="29" r:id="rId1"/>
    <sheet name="Combined TT" sheetId="30" r:id="rId2"/>
    <sheet name="TIS Architecture" sheetId="22" r:id="rId3"/>
    <sheet name="TIS Site Config" sheetId="19" r:id="rId4"/>
    <sheet name="Tower configuration" sheetId="27" r:id="rId5"/>
    <sheet name="Tubing calculator" sheetId="28" r:id="rId6"/>
    <sheet name="TIS Site Demand" sheetId="17" r:id="rId7"/>
    <sheet name="Change log" sheetId="31" r:id="rId8"/>
  </sheets>
  <definedNames>
    <definedName name="_xlnm._FilterDatabase" localSheetId="2" hidden="1">'TIS Architecture'!$A$3:$O$196</definedName>
    <definedName name="_xlnm._FilterDatabase" localSheetId="3" hidden="1">'TIS Site Config'!$A$3:$AT$51</definedName>
    <definedName name="_xlnm._FilterDatabase" localSheetId="6" hidden="1">'TIS Site Demand'!$A$2:$BG$149</definedName>
    <definedName name="_xlnm._FilterDatabase" localSheetId="4" hidden="1">'Tower configuration'!$A$3:$FV$116</definedName>
    <definedName name="_xlnm._FilterDatabase" localSheetId="5" hidden="1">'Tubing calculator'!$A$3:$AD$51</definedName>
  </definedNames>
  <calcPr calcId="162913"/>
</workbook>
</file>

<file path=xl/calcChain.xml><?xml version="1.0" encoding="utf-8"?>
<calcChain xmlns="http://schemas.openxmlformats.org/spreadsheetml/2006/main">
  <c r="BH45" i="17" l="1"/>
  <c r="BG45" i="17"/>
  <c r="BF45" i="17"/>
  <c r="BE45" i="17"/>
  <c r="BD45" i="17"/>
  <c r="BC45" i="17"/>
  <c r="BB45" i="17"/>
  <c r="BA45" i="17"/>
  <c r="AZ45" i="17"/>
  <c r="AY45" i="17"/>
  <c r="AX45"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R45" i="17"/>
  <c r="Q45" i="17"/>
  <c r="P45" i="17"/>
  <c r="O45" i="17"/>
  <c r="N45" i="17"/>
  <c r="BH44" i="17"/>
  <c r="BG44" i="17"/>
  <c r="BF44" i="17"/>
  <c r="BE44" i="17"/>
  <c r="BD44" i="17"/>
  <c r="BC44" i="17"/>
  <c r="BB44" i="17"/>
  <c r="BA44" i="17"/>
  <c r="AZ44" i="17"/>
  <c r="AY44" i="17"/>
  <c r="AX44"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R44" i="17"/>
  <c r="Q44" i="17"/>
  <c r="P44" i="17"/>
  <c r="O44" i="17"/>
  <c r="N44" i="17"/>
  <c r="BH43" i="17"/>
  <c r="BG43" i="17"/>
  <c r="BF43" i="17"/>
  <c r="BE43" i="17"/>
  <c r="BD43" i="17"/>
  <c r="BC43" i="17"/>
  <c r="BB43" i="17"/>
  <c r="BA43" i="17"/>
  <c r="AZ43" i="17"/>
  <c r="AY43" i="17"/>
  <c r="AX43" i="17"/>
  <c r="AW43" i="17"/>
  <c r="AV43" i="17"/>
  <c r="AU43" i="17"/>
  <c r="AT43" i="17"/>
  <c r="AS43" i="17"/>
  <c r="AR43" i="17"/>
  <c r="AQ43" i="17"/>
  <c r="AP43" i="17"/>
  <c r="AO43" i="17"/>
  <c r="AN43" i="17"/>
  <c r="AM43" i="17"/>
  <c r="AL43" i="17"/>
  <c r="AK43" i="17"/>
  <c r="AJ43" i="17"/>
  <c r="AI43" i="17"/>
  <c r="AH43" i="17"/>
  <c r="AG43" i="17"/>
  <c r="AF43" i="17"/>
  <c r="AE43" i="17"/>
  <c r="AD43" i="17"/>
  <c r="AC43" i="17"/>
  <c r="AB43" i="17"/>
  <c r="AA43" i="17"/>
  <c r="Z43" i="17"/>
  <c r="Y43" i="17"/>
  <c r="X43" i="17"/>
  <c r="W43" i="17"/>
  <c r="V43" i="17"/>
  <c r="U43" i="17"/>
  <c r="T43" i="17"/>
  <c r="S43" i="17"/>
  <c r="R43" i="17"/>
  <c r="Q43" i="17"/>
  <c r="P43" i="17"/>
  <c r="O43" i="17"/>
  <c r="N43" i="17"/>
  <c r="BH42" i="17"/>
  <c r="BG42" i="17"/>
  <c r="BF42" i="17"/>
  <c r="BE42" i="17"/>
  <c r="BD42" i="17"/>
  <c r="BC42" i="17"/>
  <c r="BB42" i="17"/>
  <c r="BA42" i="17"/>
  <c r="AZ42" i="17"/>
  <c r="AY42" i="17"/>
  <c r="AX42"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R42" i="17"/>
  <c r="Q42" i="17"/>
  <c r="P42" i="17"/>
  <c r="O42" i="17"/>
  <c r="N42" i="17"/>
  <c r="M45" i="17"/>
  <c r="M44" i="17"/>
  <c r="M43" i="17"/>
  <c r="M42" i="17"/>
  <c r="BH94" i="17"/>
  <c r="BG94" i="17"/>
  <c r="BF94" i="17"/>
  <c r="BE94" i="17"/>
  <c r="BD94" i="17"/>
  <c r="BC94" i="17"/>
  <c r="BB94" i="17"/>
  <c r="BA94" i="17"/>
  <c r="AZ94" i="17"/>
  <c r="AY94" i="17"/>
  <c r="AX94" i="17"/>
  <c r="AW94" i="17"/>
  <c r="AV94" i="17"/>
  <c r="AU94" i="17"/>
  <c r="AT94" i="17"/>
  <c r="AS94" i="17"/>
  <c r="AR94" i="17"/>
  <c r="AQ94" i="17"/>
  <c r="AP94" i="17"/>
  <c r="AO94" i="17"/>
  <c r="AN94" i="17"/>
  <c r="AM94" i="17"/>
  <c r="AL94" i="17"/>
  <c r="AK94" i="17"/>
  <c r="AJ94" i="17"/>
  <c r="AI94" i="17"/>
  <c r="AH94" i="17"/>
  <c r="AG94" i="17"/>
  <c r="AF94" i="17"/>
  <c r="AE94" i="17"/>
  <c r="AD94" i="17"/>
  <c r="AC94" i="17"/>
  <c r="AB94" i="17"/>
  <c r="AA94" i="17"/>
  <c r="Z94" i="17"/>
  <c r="Y94" i="17"/>
  <c r="X94" i="17"/>
  <c r="W94" i="17"/>
  <c r="V94" i="17"/>
  <c r="U94" i="17"/>
  <c r="T94" i="17"/>
  <c r="S94" i="17"/>
  <c r="R94" i="17"/>
  <c r="Q94" i="17"/>
  <c r="P94" i="17"/>
  <c r="O94" i="17"/>
  <c r="N94" i="17"/>
  <c r="M94" i="17"/>
  <c r="BH93" i="17"/>
  <c r="BG93" i="17"/>
  <c r="BF93" i="17"/>
  <c r="BE93" i="17"/>
  <c r="BD93" i="17"/>
  <c r="BC93" i="17"/>
  <c r="BB93" i="17"/>
  <c r="BA93" i="17"/>
  <c r="AZ93" i="17"/>
  <c r="AY93" i="17"/>
  <c r="AX93" i="17"/>
  <c r="AW93" i="17"/>
  <c r="AV93" i="17"/>
  <c r="AU93" i="17"/>
  <c r="AT93" i="17"/>
  <c r="AS93" i="17"/>
  <c r="AR93" i="17"/>
  <c r="AQ93" i="17"/>
  <c r="AP93" i="17"/>
  <c r="AO93" i="17"/>
  <c r="AN93" i="17"/>
  <c r="AM93" i="17"/>
  <c r="AL93" i="17"/>
  <c r="AK93" i="17"/>
  <c r="AJ93" i="17"/>
  <c r="AI93" i="17"/>
  <c r="AH93" i="17"/>
  <c r="AG93" i="17"/>
  <c r="AF93" i="17"/>
  <c r="AE93" i="17"/>
  <c r="AD93" i="17"/>
  <c r="AC93" i="17"/>
  <c r="AB93" i="17"/>
  <c r="AA93" i="17"/>
  <c r="Z93" i="17"/>
  <c r="Y93" i="17"/>
  <c r="X93" i="17"/>
  <c r="W93" i="17"/>
  <c r="V93" i="17"/>
  <c r="U93" i="17"/>
  <c r="T93" i="17"/>
  <c r="S93" i="17"/>
  <c r="R93" i="17"/>
  <c r="Q93" i="17"/>
  <c r="P93" i="17"/>
  <c r="O93" i="17"/>
  <c r="N93" i="17"/>
  <c r="M93" i="17"/>
  <c r="BH92" i="17"/>
  <c r="BG92" i="17"/>
  <c r="BF92" i="17"/>
  <c r="BE92" i="17"/>
  <c r="BD92" i="17"/>
  <c r="BC92" i="17"/>
  <c r="BB92" i="17"/>
  <c r="BA92" i="17"/>
  <c r="AZ92" i="17"/>
  <c r="AY92" i="17"/>
  <c r="AX92"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Z92" i="17"/>
  <c r="Y92" i="17"/>
  <c r="X92" i="17"/>
  <c r="W92" i="17"/>
  <c r="V92" i="17"/>
  <c r="U92" i="17"/>
  <c r="T92" i="17"/>
  <c r="S92" i="17"/>
  <c r="R92" i="17"/>
  <c r="Q92" i="17"/>
  <c r="P92" i="17"/>
  <c r="O92" i="17"/>
  <c r="N92" i="17"/>
  <c r="M92" i="17"/>
  <c r="BH91" i="17"/>
  <c r="BG91" i="17"/>
  <c r="BF91" i="17"/>
  <c r="BE91" i="17"/>
  <c r="BD91" i="17"/>
  <c r="BC91" i="17"/>
  <c r="BB91" i="17"/>
  <c r="BA91" i="17"/>
  <c r="AZ91" i="17"/>
  <c r="AY91" i="17"/>
  <c r="AX91" i="17"/>
  <c r="AW91" i="17"/>
  <c r="AV91" i="17"/>
  <c r="AU91" i="17"/>
  <c r="AT91" i="17"/>
  <c r="AS91" i="17"/>
  <c r="AR91" i="17"/>
  <c r="AQ91" i="17"/>
  <c r="AP91" i="17"/>
  <c r="AO91" i="17"/>
  <c r="AN91" i="17"/>
  <c r="AM91" i="17"/>
  <c r="AL91" i="17"/>
  <c r="AK91" i="17"/>
  <c r="AJ91" i="17"/>
  <c r="AI91" i="17"/>
  <c r="AH91" i="17"/>
  <c r="AG91" i="17"/>
  <c r="AF91" i="17"/>
  <c r="AE91" i="17"/>
  <c r="AD91" i="17"/>
  <c r="AC91" i="17"/>
  <c r="AB91" i="17"/>
  <c r="AA91" i="17"/>
  <c r="Z91" i="17"/>
  <c r="Y91" i="17"/>
  <c r="X91" i="17"/>
  <c r="W91" i="17"/>
  <c r="V91" i="17"/>
  <c r="U91" i="17"/>
  <c r="T91" i="17"/>
  <c r="S91" i="17"/>
  <c r="R91" i="17"/>
  <c r="Q91" i="17"/>
  <c r="P91" i="17"/>
  <c r="O91" i="17"/>
  <c r="N91" i="17"/>
  <c r="M91" i="17"/>
  <c r="BH78" i="17" l="1"/>
  <c r="BG78" i="17"/>
  <c r="BF78" i="17"/>
  <c r="BE78" i="17"/>
  <c r="BD78" i="17"/>
  <c r="BC78" i="17"/>
  <c r="BB78" i="17"/>
  <c r="BA78" i="17"/>
  <c r="AZ78" i="17"/>
  <c r="AY78" i="17"/>
  <c r="AX78"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Z78" i="17"/>
  <c r="Y78" i="17"/>
  <c r="X78" i="17"/>
  <c r="W78" i="17"/>
  <c r="V78" i="17"/>
  <c r="U78" i="17"/>
  <c r="T78" i="17"/>
  <c r="S78" i="17"/>
  <c r="R78" i="17"/>
  <c r="Q78" i="17"/>
  <c r="P78" i="17"/>
  <c r="O78" i="17"/>
  <c r="N78" i="17"/>
  <c r="M78" i="17"/>
  <c r="BH77" i="17"/>
  <c r="BG77" i="17"/>
  <c r="BF77" i="17"/>
  <c r="BE77" i="17"/>
  <c r="BD77" i="17"/>
  <c r="BC77" i="17"/>
  <c r="BB77" i="17"/>
  <c r="BA77" i="17"/>
  <c r="AZ77" i="17"/>
  <c r="AY77" i="17"/>
  <c r="AX77" i="17"/>
  <c r="AW77" i="17"/>
  <c r="AV77"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T77" i="17"/>
  <c r="S77" i="17"/>
  <c r="R77" i="17"/>
  <c r="Q77" i="17"/>
  <c r="P77" i="17"/>
  <c r="O77" i="17"/>
  <c r="N77" i="17"/>
  <c r="M77" i="17"/>
  <c r="BH76" i="17"/>
  <c r="BG76" i="17"/>
  <c r="BF76" i="17"/>
  <c r="BE76" i="17"/>
  <c r="BD76" i="17"/>
  <c r="BC76" i="17"/>
  <c r="BB76" i="17"/>
  <c r="BA76" i="17"/>
  <c r="AZ76" i="17"/>
  <c r="AY76" i="17"/>
  <c r="AX76" i="17"/>
  <c r="AW76" i="17"/>
  <c r="AV76" i="17"/>
  <c r="AU76" i="17"/>
  <c r="AT76" i="17"/>
  <c r="AS76" i="17"/>
  <c r="AR76" i="17"/>
  <c r="AQ76" i="17"/>
  <c r="AP76" i="17"/>
  <c r="AO76" i="17"/>
  <c r="AN76" i="17"/>
  <c r="AM76" i="17"/>
  <c r="AL76" i="17"/>
  <c r="AK76" i="17"/>
  <c r="AJ76" i="17"/>
  <c r="AI76" i="17"/>
  <c r="AH76" i="17"/>
  <c r="AG76" i="17"/>
  <c r="AF76" i="17"/>
  <c r="AE76" i="17"/>
  <c r="AD76" i="17"/>
  <c r="AC76" i="17"/>
  <c r="AB76" i="17"/>
  <c r="AA76" i="17"/>
  <c r="Z76" i="17"/>
  <c r="Y76" i="17"/>
  <c r="X76" i="17"/>
  <c r="W76" i="17"/>
  <c r="V76" i="17"/>
  <c r="U76" i="17"/>
  <c r="T76" i="17"/>
  <c r="S76" i="17"/>
  <c r="R76" i="17"/>
  <c r="Q76" i="17"/>
  <c r="P76" i="17"/>
  <c r="O76" i="17"/>
  <c r="N76" i="17"/>
  <c r="M76" i="17"/>
  <c r="BH75" i="17"/>
  <c r="BG75" i="17"/>
  <c r="BF75" i="17"/>
  <c r="BE75" i="17"/>
  <c r="BD75" i="17"/>
  <c r="BC75" i="17"/>
  <c r="BB75" i="17"/>
  <c r="BA75" i="17"/>
  <c r="AZ75" i="17"/>
  <c r="AY75" i="17"/>
  <c r="AX75" i="17"/>
  <c r="AW75" i="17"/>
  <c r="AV75" i="17"/>
  <c r="AU75" i="17"/>
  <c r="AT75" i="17"/>
  <c r="AS75" i="17"/>
  <c r="AR75" i="17"/>
  <c r="AQ75" i="17"/>
  <c r="AP75" i="17"/>
  <c r="AO75" i="17"/>
  <c r="AN75" i="17"/>
  <c r="AM75" i="17"/>
  <c r="AL75" i="17"/>
  <c r="AK75" i="17"/>
  <c r="AJ75" i="17"/>
  <c r="AI75" i="17"/>
  <c r="AH75" i="17"/>
  <c r="AG75" i="17"/>
  <c r="AF75" i="17"/>
  <c r="AE75" i="17"/>
  <c r="AD75" i="17"/>
  <c r="AC75" i="17"/>
  <c r="AB75" i="17"/>
  <c r="AA75" i="17"/>
  <c r="Z75" i="17"/>
  <c r="Y75" i="17"/>
  <c r="X75" i="17"/>
  <c r="W75" i="17"/>
  <c r="V75" i="17"/>
  <c r="U75" i="17"/>
  <c r="T75" i="17"/>
  <c r="S75" i="17"/>
  <c r="R75" i="17"/>
  <c r="Q75" i="17"/>
  <c r="P75" i="17"/>
  <c r="O75" i="17"/>
  <c r="N75" i="17"/>
  <c r="M75" i="17"/>
  <c r="BH74" i="17"/>
  <c r="BG74" i="17"/>
  <c r="BF74" i="17"/>
  <c r="BE74" i="17"/>
  <c r="BD74" i="17"/>
  <c r="BC74" i="17"/>
  <c r="BB74" i="17"/>
  <c r="BA74" i="17"/>
  <c r="AZ74" i="17"/>
  <c r="AY74" i="17"/>
  <c r="AX74"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Z74" i="17"/>
  <c r="Y74" i="17"/>
  <c r="X74" i="17"/>
  <c r="W74" i="17"/>
  <c r="V74" i="17"/>
  <c r="U74" i="17"/>
  <c r="T74" i="17"/>
  <c r="S74" i="17"/>
  <c r="R74" i="17"/>
  <c r="Q74" i="17"/>
  <c r="P74" i="17"/>
  <c r="O74" i="17"/>
  <c r="N74" i="17"/>
  <c r="M74" i="17"/>
  <c r="BH73" i="17"/>
  <c r="BG73" i="17"/>
  <c r="BF73" i="17"/>
  <c r="BE73" i="17"/>
  <c r="BD73" i="17"/>
  <c r="BC73" i="17"/>
  <c r="BB73" i="17"/>
  <c r="BA73" i="17"/>
  <c r="AZ73" i="17"/>
  <c r="AY73" i="17"/>
  <c r="AX73" i="17"/>
  <c r="AW73" i="17"/>
  <c r="AV73" i="17"/>
  <c r="AU73" i="17"/>
  <c r="AT73" i="17"/>
  <c r="AS73" i="17"/>
  <c r="AR73" i="17"/>
  <c r="AQ73" i="17"/>
  <c r="AP73" i="17"/>
  <c r="AO73" i="17"/>
  <c r="AN73" i="17"/>
  <c r="AM73" i="17"/>
  <c r="AL73" i="17"/>
  <c r="AK73" i="17"/>
  <c r="AJ73" i="17"/>
  <c r="AI73" i="17"/>
  <c r="AH73" i="17"/>
  <c r="AG73" i="17"/>
  <c r="AF73" i="17"/>
  <c r="AE73" i="17"/>
  <c r="AD73" i="17"/>
  <c r="AC73" i="17"/>
  <c r="AB73" i="17"/>
  <c r="AA73" i="17"/>
  <c r="Z73" i="17"/>
  <c r="Y73" i="17"/>
  <c r="X73" i="17"/>
  <c r="W73" i="17"/>
  <c r="V73" i="17"/>
  <c r="U73" i="17"/>
  <c r="T73" i="17"/>
  <c r="S73" i="17"/>
  <c r="R73" i="17"/>
  <c r="Q73" i="17"/>
  <c r="P73" i="17"/>
  <c r="O73" i="17"/>
  <c r="N73" i="17"/>
  <c r="M73" i="17"/>
  <c r="BH5" i="17" l="1"/>
  <c r="BG5" i="17"/>
  <c r="BF5" i="17"/>
  <c r="BE5" i="17"/>
  <c r="BD5" i="17"/>
  <c r="BC5" i="17"/>
  <c r="BB5" i="17"/>
  <c r="BA5" i="17"/>
  <c r="AZ5" i="17"/>
  <c r="AY5" i="17"/>
  <c r="AX5" i="17"/>
  <c r="AW5" i="17"/>
  <c r="AV5" i="17"/>
  <c r="AU5" i="17"/>
  <c r="AT5" i="17"/>
  <c r="AS5" i="17"/>
  <c r="AR5" i="17"/>
  <c r="AQ5" i="17"/>
  <c r="AP5" i="17"/>
  <c r="AO5" i="17"/>
  <c r="AN5" i="17"/>
  <c r="AM5" i="17"/>
  <c r="AL5" i="17"/>
  <c r="AK5" i="17"/>
  <c r="AJ5" i="17"/>
  <c r="AI5" i="17"/>
  <c r="AH5" i="17"/>
  <c r="AG5" i="17"/>
  <c r="AF5" i="17"/>
  <c r="AE5" i="17"/>
  <c r="AD5" i="17"/>
  <c r="AC5" i="17"/>
  <c r="AB5" i="17"/>
  <c r="AA5" i="17"/>
  <c r="Z5" i="17"/>
  <c r="Y5" i="17"/>
  <c r="X5" i="17"/>
  <c r="W5" i="17"/>
  <c r="V5" i="17"/>
  <c r="U5" i="17"/>
  <c r="T5" i="17"/>
  <c r="S5" i="17"/>
  <c r="R5" i="17"/>
  <c r="Q5" i="17"/>
  <c r="P5" i="17"/>
  <c r="O5" i="17"/>
  <c r="N5" i="17"/>
  <c r="M5" i="17"/>
  <c r="BH12" i="17" l="1"/>
  <c r="BG12" i="17"/>
  <c r="BF12" i="17"/>
  <c r="BE12" i="17"/>
  <c r="BD12" i="17"/>
  <c r="BC12" i="17"/>
  <c r="BB12" i="17"/>
  <c r="BA12" i="17"/>
  <c r="AZ12" i="17"/>
  <c r="AY12" i="17"/>
  <c r="AX12" i="17"/>
  <c r="AW12" i="17"/>
  <c r="AV12" i="17"/>
  <c r="AU12" i="17"/>
  <c r="AT12" i="17"/>
  <c r="AS12" i="17"/>
  <c r="AR12" i="17"/>
  <c r="AQ12" i="17"/>
  <c r="AP12" i="17"/>
  <c r="AO12" i="17"/>
  <c r="AN12" i="17"/>
  <c r="AM12" i="17"/>
  <c r="AL12" i="17"/>
  <c r="AK12" i="17"/>
  <c r="AJ12" i="17"/>
  <c r="AI12" i="17"/>
  <c r="AH12" i="17"/>
  <c r="AG12" i="17"/>
  <c r="AF12" i="17"/>
  <c r="AE12" i="17"/>
  <c r="AD12" i="17"/>
  <c r="AC12" i="17"/>
  <c r="AB12" i="17"/>
  <c r="AA12" i="17"/>
  <c r="Z12" i="17"/>
  <c r="Y12" i="17"/>
  <c r="X12" i="17"/>
  <c r="W12" i="17"/>
  <c r="V12" i="17"/>
  <c r="U12" i="17"/>
  <c r="T12" i="17"/>
  <c r="S12" i="17"/>
  <c r="R12" i="17"/>
  <c r="Q12" i="17"/>
  <c r="P12" i="17"/>
  <c r="O12" i="17"/>
  <c r="N12" i="17"/>
  <c r="M12" i="17"/>
  <c r="BH118" i="17"/>
  <c r="BG118" i="17"/>
  <c r="BF118" i="17"/>
  <c r="BE118" i="17"/>
  <c r="BD118" i="17"/>
  <c r="BC118" i="17"/>
  <c r="BB118" i="17"/>
  <c r="BA118" i="17"/>
  <c r="AZ118" i="17"/>
  <c r="AY118" i="17"/>
  <c r="AX118" i="17"/>
  <c r="AW118" i="17"/>
  <c r="AV118" i="17"/>
  <c r="AU118" i="17"/>
  <c r="AT118" i="17"/>
  <c r="AS118" i="17"/>
  <c r="AR118" i="17"/>
  <c r="AQ118" i="17"/>
  <c r="AP118" i="17"/>
  <c r="AO118" i="17"/>
  <c r="AN118" i="17"/>
  <c r="AM118" i="17"/>
  <c r="AL118" i="17"/>
  <c r="AK118" i="17"/>
  <c r="AJ118" i="17"/>
  <c r="AI118" i="17"/>
  <c r="AH118" i="17"/>
  <c r="AG118" i="17"/>
  <c r="AF118" i="17"/>
  <c r="AE118" i="17"/>
  <c r="AD118" i="17"/>
  <c r="AC118" i="17"/>
  <c r="AB118" i="17"/>
  <c r="AA118" i="17"/>
  <c r="Z118" i="17"/>
  <c r="Y118" i="17"/>
  <c r="X118" i="17"/>
  <c r="W118" i="17"/>
  <c r="V118" i="17"/>
  <c r="U118" i="17"/>
  <c r="T118" i="17"/>
  <c r="S118" i="17"/>
  <c r="R118" i="17"/>
  <c r="Q118" i="17"/>
  <c r="P118" i="17"/>
  <c r="O118" i="17"/>
  <c r="N118" i="17"/>
  <c r="M118" i="17"/>
  <c r="BH124" i="17" l="1"/>
  <c r="BG124" i="17"/>
  <c r="BF124" i="17"/>
  <c r="BE124" i="17"/>
  <c r="BD124" i="17"/>
  <c r="BC124" i="17"/>
  <c r="BB124" i="17"/>
  <c r="BA124" i="17"/>
  <c r="AZ124" i="17"/>
  <c r="AY124" i="17"/>
  <c r="AX124" i="17"/>
  <c r="AW124" i="17"/>
  <c r="AV124" i="17"/>
  <c r="AU124" i="17"/>
  <c r="AT124" i="17"/>
  <c r="AS124" i="17"/>
  <c r="AR124" i="17"/>
  <c r="AQ124" i="17"/>
  <c r="AP124" i="17"/>
  <c r="AO124" i="17"/>
  <c r="AN124" i="17"/>
  <c r="AL124" i="17"/>
  <c r="AK124" i="17"/>
  <c r="AJ124" i="17"/>
  <c r="AI124" i="17"/>
  <c r="AH124" i="17"/>
  <c r="AG124" i="17"/>
  <c r="AF124" i="17"/>
  <c r="AE124" i="17"/>
  <c r="AD124" i="17"/>
  <c r="AC124" i="17"/>
  <c r="AB124" i="17"/>
  <c r="AA124" i="17"/>
  <c r="Z124" i="17"/>
  <c r="Y124" i="17"/>
  <c r="X124" i="17"/>
  <c r="W124" i="17"/>
  <c r="V124" i="17"/>
  <c r="U124" i="17"/>
  <c r="T124" i="17"/>
  <c r="S124" i="17"/>
  <c r="R124" i="17"/>
  <c r="Q124" i="17"/>
  <c r="P124" i="17"/>
  <c r="O124" i="17"/>
  <c r="N124" i="17"/>
  <c r="M124" i="17"/>
  <c r="AM124" i="17"/>
  <c r="BH122" i="17"/>
  <c r="BG122" i="17"/>
  <c r="BF122" i="17"/>
  <c r="BE122" i="17"/>
  <c r="BD122" i="17"/>
  <c r="BC122" i="17"/>
  <c r="BB122" i="17"/>
  <c r="BA122" i="17"/>
  <c r="AZ122" i="17"/>
  <c r="AY122" i="17"/>
  <c r="AX122"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R122" i="17"/>
  <c r="Q122" i="17"/>
  <c r="P122" i="17"/>
  <c r="O122" i="17"/>
  <c r="N122" i="17"/>
  <c r="M122" i="17"/>
  <c r="BH121" i="17"/>
  <c r="BG121" i="17"/>
  <c r="BF121" i="17"/>
  <c r="BE121" i="17"/>
  <c r="BD121" i="17"/>
  <c r="BC121" i="17"/>
  <c r="BB121" i="17"/>
  <c r="BA121" i="17"/>
  <c r="AZ121" i="17"/>
  <c r="AY121" i="17"/>
  <c r="AX121" i="17"/>
  <c r="AW121" i="17"/>
  <c r="AV121" i="17"/>
  <c r="AU121" i="17"/>
  <c r="AT121" i="17"/>
  <c r="AS121" i="17"/>
  <c r="AR121" i="17"/>
  <c r="AQ121" i="17"/>
  <c r="AP121" i="17"/>
  <c r="AO121" i="17"/>
  <c r="AN121" i="17"/>
  <c r="AM121" i="17"/>
  <c r="AL121" i="17"/>
  <c r="AK121" i="17"/>
  <c r="AJ121" i="17"/>
  <c r="AI121" i="17"/>
  <c r="AH121" i="17"/>
  <c r="AG121" i="17"/>
  <c r="AF121" i="17"/>
  <c r="AE121" i="17"/>
  <c r="AD121" i="17"/>
  <c r="AC121" i="17"/>
  <c r="AB121" i="17"/>
  <c r="AA121" i="17"/>
  <c r="Z121" i="17"/>
  <c r="Y121" i="17"/>
  <c r="X121" i="17"/>
  <c r="W121" i="17"/>
  <c r="V121" i="17"/>
  <c r="U121" i="17"/>
  <c r="T121" i="17"/>
  <c r="S121" i="17"/>
  <c r="R121" i="17"/>
  <c r="Q121" i="17"/>
  <c r="P121" i="17"/>
  <c r="O121" i="17"/>
  <c r="N121" i="17"/>
  <c r="M121" i="17"/>
  <c r="BH120" i="17"/>
  <c r="BG120" i="17"/>
  <c r="BF120" i="17"/>
  <c r="BE120" i="17"/>
  <c r="BD120" i="17"/>
  <c r="BC120" i="17"/>
  <c r="BB120" i="17"/>
  <c r="BA120" i="17"/>
  <c r="AZ120" i="17"/>
  <c r="AY120" i="17"/>
  <c r="AX120"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Z120" i="17"/>
  <c r="Y120" i="17"/>
  <c r="X120" i="17"/>
  <c r="W120" i="17"/>
  <c r="V120" i="17"/>
  <c r="U120" i="17"/>
  <c r="T120" i="17"/>
  <c r="S120" i="17"/>
  <c r="R120" i="17"/>
  <c r="Q120" i="17"/>
  <c r="P120" i="17"/>
  <c r="O120" i="17"/>
  <c r="N120" i="17"/>
  <c r="M120" i="17"/>
  <c r="BH127" i="17" l="1"/>
  <c r="BG127" i="17"/>
  <c r="BF127" i="17"/>
  <c r="BE127" i="17"/>
  <c r="BD127" i="17"/>
  <c r="BC127" i="17"/>
  <c r="BB127" i="17"/>
  <c r="BA127" i="17"/>
  <c r="AZ127" i="17"/>
  <c r="AY127" i="17"/>
  <c r="AX127" i="17"/>
  <c r="AW127" i="17"/>
  <c r="AV127" i="17"/>
  <c r="AU127" i="17"/>
  <c r="AT127" i="17"/>
  <c r="AS127" i="17"/>
  <c r="AR127" i="17"/>
  <c r="AQ127" i="17"/>
  <c r="AP127" i="17"/>
  <c r="AO127" i="17"/>
  <c r="AN127" i="17"/>
  <c r="AM127" i="17"/>
  <c r="AL127" i="17"/>
  <c r="AK127" i="17"/>
  <c r="AJ127" i="17"/>
  <c r="AI127" i="17"/>
  <c r="AH127" i="17"/>
  <c r="AG127" i="17"/>
  <c r="AF127" i="17"/>
  <c r="AE127" i="17"/>
  <c r="AD127" i="17"/>
  <c r="AC127" i="17"/>
  <c r="AB127" i="17"/>
  <c r="AA127" i="17"/>
  <c r="Z127" i="17"/>
  <c r="Y127" i="17"/>
  <c r="X127" i="17"/>
  <c r="W127" i="17"/>
  <c r="V127" i="17"/>
  <c r="U127" i="17"/>
  <c r="T127" i="17"/>
  <c r="S127" i="17"/>
  <c r="R127" i="17"/>
  <c r="Q127" i="17"/>
  <c r="P127" i="17"/>
  <c r="O127" i="17"/>
  <c r="N127" i="17"/>
  <c r="M127" i="17"/>
  <c r="BH107" i="17"/>
  <c r="BG107" i="17"/>
  <c r="BF107" i="17"/>
  <c r="BE107" i="17"/>
  <c r="BD107" i="17"/>
  <c r="BC107" i="17"/>
  <c r="BB107" i="17"/>
  <c r="BA107" i="17"/>
  <c r="AZ107" i="17"/>
  <c r="AY107" i="17"/>
  <c r="AX107" i="17"/>
  <c r="AW107" i="17"/>
  <c r="AV107" i="17"/>
  <c r="AU107" i="17"/>
  <c r="AT107" i="17"/>
  <c r="AS107" i="17"/>
  <c r="AR107" i="17"/>
  <c r="AQ107" i="17"/>
  <c r="AP107" i="17"/>
  <c r="AO107" i="17"/>
  <c r="AN107" i="17"/>
  <c r="AM107" i="17"/>
  <c r="AL107" i="17"/>
  <c r="AK107" i="17"/>
  <c r="AJ107" i="17"/>
  <c r="AI107" i="17"/>
  <c r="AH107" i="17"/>
  <c r="AG107" i="17"/>
  <c r="AF107" i="17"/>
  <c r="AE107" i="17"/>
  <c r="AD107" i="17"/>
  <c r="AC107" i="17"/>
  <c r="AB107" i="17"/>
  <c r="AA107" i="17"/>
  <c r="Z107" i="17"/>
  <c r="Y107" i="17"/>
  <c r="X107" i="17"/>
  <c r="W107" i="17"/>
  <c r="V107" i="17"/>
  <c r="U107" i="17"/>
  <c r="T107" i="17"/>
  <c r="S107" i="17"/>
  <c r="R107" i="17"/>
  <c r="Q107" i="17"/>
  <c r="P107" i="17"/>
  <c r="O107" i="17"/>
  <c r="N107" i="17"/>
  <c r="M107" i="17"/>
  <c r="BH106" i="17"/>
  <c r="BG106" i="17"/>
  <c r="BF106" i="17"/>
  <c r="BE106" i="17"/>
  <c r="BD106" i="17"/>
  <c r="BC106" i="17"/>
  <c r="BB106" i="17"/>
  <c r="BA106" i="17"/>
  <c r="AZ106" i="17"/>
  <c r="AY106" i="17"/>
  <c r="AX106" i="17"/>
  <c r="AW106" i="17"/>
  <c r="AV106" i="17"/>
  <c r="AU106" i="17"/>
  <c r="AT106" i="17"/>
  <c r="AS106" i="17"/>
  <c r="AR106" i="17"/>
  <c r="AQ106" i="17"/>
  <c r="AP106" i="17"/>
  <c r="AO106" i="17"/>
  <c r="AN106" i="17"/>
  <c r="AM106" i="17"/>
  <c r="AL106" i="17"/>
  <c r="AK106" i="17"/>
  <c r="AJ106" i="17"/>
  <c r="AI106" i="17"/>
  <c r="AH106" i="17"/>
  <c r="AG106" i="17"/>
  <c r="AF106" i="17"/>
  <c r="AE106" i="17"/>
  <c r="AD106" i="17"/>
  <c r="AC106" i="17"/>
  <c r="AB106" i="17"/>
  <c r="AA106" i="17"/>
  <c r="Z106" i="17"/>
  <c r="Y106" i="17"/>
  <c r="X106" i="17"/>
  <c r="W106" i="17"/>
  <c r="V106" i="17"/>
  <c r="U106" i="17"/>
  <c r="T106" i="17"/>
  <c r="S106" i="17"/>
  <c r="R106" i="17"/>
  <c r="Q106" i="17"/>
  <c r="P106" i="17"/>
  <c r="O106" i="17"/>
  <c r="N106" i="17"/>
  <c r="M106" i="17"/>
  <c r="BH105" i="17"/>
  <c r="BG105" i="17"/>
  <c r="BF105" i="17"/>
  <c r="BE105" i="17"/>
  <c r="BD105" i="17"/>
  <c r="BC105" i="17"/>
  <c r="BB105" i="17"/>
  <c r="BA105" i="17"/>
  <c r="AZ105" i="17"/>
  <c r="AY105" i="17"/>
  <c r="AX105" i="17"/>
  <c r="AW105" i="17"/>
  <c r="AV105"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R105" i="17"/>
  <c r="Q105" i="17"/>
  <c r="P105" i="17"/>
  <c r="O105" i="17"/>
  <c r="N105" i="17"/>
  <c r="M105" i="17"/>
  <c r="BH104" i="17"/>
  <c r="BG104" i="17"/>
  <c r="BF104" i="17"/>
  <c r="BE104" i="17"/>
  <c r="BD104" i="17"/>
  <c r="BC104" i="17"/>
  <c r="BB104" i="17"/>
  <c r="BA104" i="17"/>
  <c r="AZ104" i="17"/>
  <c r="AY104" i="17"/>
  <c r="AX104"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Z104" i="17"/>
  <c r="Y104" i="17"/>
  <c r="X104" i="17"/>
  <c r="W104" i="17"/>
  <c r="V104" i="17"/>
  <c r="U104" i="17"/>
  <c r="T104" i="17"/>
  <c r="S104" i="17"/>
  <c r="R104" i="17"/>
  <c r="Q104" i="17"/>
  <c r="P104" i="17"/>
  <c r="O104" i="17"/>
  <c r="N104" i="17"/>
  <c r="M104" i="17"/>
  <c r="BH103" i="17"/>
  <c r="BG103" i="17"/>
  <c r="BF103" i="17"/>
  <c r="BE103" i="17"/>
  <c r="BD103" i="17"/>
  <c r="BC103" i="17"/>
  <c r="BB103" i="17"/>
  <c r="BA103" i="17"/>
  <c r="AZ103" i="17"/>
  <c r="AY103" i="17"/>
  <c r="AX103" i="17"/>
  <c r="AW103" i="17"/>
  <c r="AV103" i="17"/>
  <c r="AU103" i="17"/>
  <c r="AT103" i="17"/>
  <c r="AS103" i="17"/>
  <c r="AR103" i="17"/>
  <c r="AQ103" i="17"/>
  <c r="AP103" i="17"/>
  <c r="AO103" i="17"/>
  <c r="AN103" i="17"/>
  <c r="AM103" i="17"/>
  <c r="AL103" i="17"/>
  <c r="AK103" i="17"/>
  <c r="AJ103" i="17"/>
  <c r="AI103" i="17"/>
  <c r="AH103" i="17"/>
  <c r="AG103" i="17"/>
  <c r="AF103" i="17"/>
  <c r="AE103" i="17"/>
  <c r="AD103" i="17"/>
  <c r="AC103" i="17"/>
  <c r="AB103" i="17"/>
  <c r="AA103" i="17"/>
  <c r="Z103" i="17"/>
  <c r="Y103" i="17"/>
  <c r="X103" i="17"/>
  <c r="W103" i="17"/>
  <c r="V103" i="17"/>
  <c r="U103" i="17"/>
  <c r="T103" i="17"/>
  <c r="S103" i="17"/>
  <c r="R103" i="17"/>
  <c r="Q103" i="17"/>
  <c r="P103" i="17"/>
  <c r="O103" i="17"/>
  <c r="N103" i="17"/>
  <c r="M103" i="17"/>
  <c r="BH98" i="17"/>
  <c r="BG98" i="17"/>
  <c r="BF98" i="17"/>
  <c r="BE98" i="17"/>
  <c r="BD98" i="17"/>
  <c r="BC98" i="17"/>
  <c r="BB98" i="17"/>
  <c r="BA98" i="17"/>
  <c r="AZ98" i="17"/>
  <c r="AY98" i="17"/>
  <c r="AX98"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Z98" i="17"/>
  <c r="Y98" i="17"/>
  <c r="X98" i="17"/>
  <c r="W98" i="17"/>
  <c r="V98" i="17"/>
  <c r="U98" i="17"/>
  <c r="T98" i="17"/>
  <c r="S98" i="17"/>
  <c r="R98" i="17"/>
  <c r="Q98" i="17"/>
  <c r="P98" i="17"/>
  <c r="O98" i="17"/>
  <c r="N98" i="17"/>
  <c r="M98" i="17"/>
  <c r="BH97" i="17"/>
  <c r="BG97" i="17"/>
  <c r="BF97" i="17"/>
  <c r="BE97" i="17"/>
  <c r="BD97" i="17"/>
  <c r="BC97" i="17"/>
  <c r="BB97" i="17"/>
  <c r="BA97" i="17"/>
  <c r="AZ97" i="17"/>
  <c r="AY97" i="17"/>
  <c r="AX97" i="17"/>
  <c r="AW97" i="17"/>
  <c r="AV97" i="17"/>
  <c r="AU97" i="17"/>
  <c r="AT97" i="17"/>
  <c r="AS97" i="17"/>
  <c r="AR97" i="17"/>
  <c r="AQ97" i="17"/>
  <c r="AP97" i="17"/>
  <c r="AO97" i="17"/>
  <c r="AN97" i="17"/>
  <c r="AM97" i="17"/>
  <c r="AL97" i="17"/>
  <c r="AK97" i="17"/>
  <c r="AJ97" i="17"/>
  <c r="AI97" i="17"/>
  <c r="AH97" i="17"/>
  <c r="AG97" i="17"/>
  <c r="AF97" i="17"/>
  <c r="AE97" i="17"/>
  <c r="AD97" i="17"/>
  <c r="AC97" i="17"/>
  <c r="AB97" i="17"/>
  <c r="AA97" i="17"/>
  <c r="Z97" i="17"/>
  <c r="Y97" i="17"/>
  <c r="X97" i="17"/>
  <c r="W97" i="17"/>
  <c r="V97" i="17"/>
  <c r="U97" i="17"/>
  <c r="T97" i="17"/>
  <c r="S97" i="17"/>
  <c r="R97" i="17"/>
  <c r="Q97" i="17"/>
  <c r="P97" i="17"/>
  <c r="O97" i="17"/>
  <c r="N97" i="17"/>
  <c r="M97" i="17"/>
  <c r="BH96" i="17"/>
  <c r="BG96" i="17"/>
  <c r="BF96" i="17"/>
  <c r="BE96" i="17"/>
  <c r="BD96" i="17"/>
  <c r="BC96" i="17"/>
  <c r="BB96" i="17"/>
  <c r="BA96" i="17"/>
  <c r="AZ96" i="17"/>
  <c r="AY96" i="17"/>
  <c r="AX96"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Z96" i="17"/>
  <c r="Y96" i="17"/>
  <c r="X96" i="17"/>
  <c r="W96" i="17"/>
  <c r="V96" i="17"/>
  <c r="U96" i="17"/>
  <c r="T96" i="17"/>
  <c r="S96" i="17"/>
  <c r="R96" i="17"/>
  <c r="Q96" i="17"/>
  <c r="P96" i="17"/>
  <c r="O96" i="17"/>
  <c r="N96" i="17"/>
  <c r="M96" i="17"/>
  <c r="BH95" i="17"/>
  <c r="BG95" i="17"/>
  <c r="BF95" i="17"/>
  <c r="BE95" i="17"/>
  <c r="BD95" i="17"/>
  <c r="BC95" i="17"/>
  <c r="BB95" i="17"/>
  <c r="BA95" i="17"/>
  <c r="AZ95" i="17"/>
  <c r="AY95" i="17"/>
  <c r="AX95" i="17"/>
  <c r="AW95" i="17"/>
  <c r="AV95" i="17"/>
  <c r="AU95" i="17"/>
  <c r="AT95" i="17"/>
  <c r="AS95" i="17"/>
  <c r="AR95" i="17"/>
  <c r="AQ95" i="17"/>
  <c r="AP95" i="17"/>
  <c r="AO95" i="17"/>
  <c r="AN95" i="17"/>
  <c r="AM95" i="17"/>
  <c r="AL95" i="17"/>
  <c r="AK95" i="17"/>
  <c r="AJ95" i="17"/>
  <c r="AI95" i="17"/>
  <c r="AH95" i="17"/>
  <c r="AG95" i="17"/>
  <c r="AF95" i="17"/>
  <c r="AE95" i="17"/>
  <c r="AD95" i="17"/>
  <c r="AC95" i="17"/>
  <c r="AB95" i="17"/>
  <c r="AA95" i="17"/>
  <c r="Z95" i="17"/>
  <c r="Y95" i="17"/>
  <c r="X95" i="17"/>
  <c r="W95" i="17"/>
  <c r="V95" i="17"/>
  <c r="U95" i="17"/>
  <c r="T95" i="17"/>
  <c r="S95" i="17"/>
  <c r="R95" i="17"/>
  <c r="Q95" i="17"/>
  <c r="P95" i="17"/>
  <c r="O95" i="17"/>
  <c r="N95" i="17"/>
  <c r="M95" i="17"/>
  <c r="BH89" i="17"/>
  <c r="BG89" i="17"/>
  <c r="BF89" i="17"/>
  <c r="BE89" i="17"/>
  <c r="BD89" i="17"/>
  <c r="BC89" i="17"/>
  <c r="BB89" i="17"/>
  <c r="BA89" i="17"/>
  <c r="AZ89" i="17"/>
  <c r="AY89" i="17"/>
  <c r="AX89" i="17"/>
  <c r="AW89" i="17"/>
  <c r="AV89" i="17"/>
  <c r="AU89" i="17"/>
  <c r="AT89" i="17"/>
  <c r="AS89" i="17"/>
  <c r="AR89" i="17"/>
  <c r="AQ89" i="17"/>
  <c r="AP89" i="17"/>
  <c r="AO89" i="17"/>
  <c r="AN89" i="17"/>
  <c r="AM89" i="17"/>
  <c r="AL89" i="17"/>
  <c r="AK89" i="17"/>
  <c r="AJ89" i="17"/>
  <c r="AI89" i="17"/>
  <c r="AH89" i="17"/>
  <c r="AG89" i="17"/>
  <c r="AF89" i="17"/>
  <c r="AE89" i="17"/>
  <c r="AD89" i="17"/>
  <c r="AC89" i="17"/>
  <c r="AB89" i="17"/>
  <c r="AA89" i="17"/>
  <c r="Z89" i="17"/>
  <c r="Y89" i="17"/>
  <c r="X89" i="17"/>
  <c r="W89" i="17"/>
  <c r="V89" i="17"/>
  <c r="U89" i="17"/>
  <c r="T89" i="17"/>
  <c r="S89" i="17"/>
  <c r="R89" i="17"/>
  <c r="Q89" i="17"/>
  <c r="P89" i="17"/>
  <c r="O89" i="17"/>
  <c r="N89" i="17"/>
  <c r="M89" i="17"/>
  <c r="BH52" i="17"/>
  <c r="BG52" i="17"/>
  <c r="BF52" i="17"/>
  <c r="BE52" i="17"/>
  <c r="BD52" i="17"/>
  <c r="BC52" i="17"/>
  <c r="BB52" i="17"/>
  <c r="BA52" i="17"/>
  <c r="AZ52" i="17"/>
  <c r="AY52" i="17"/>
  <c r="AX52" i="17"/>
  <c r="AW52" i="17"/>
  <c r="AV52" i="17"/>
  <c r="AU52" i="17"/>
  <c r="AT52" i="17"/>
  <c r="AS52" i="17"/>
  <c r="AR52" i="17"/>
  <c r="AQ52" i="17"/>
  <c r="AP52" i="17"/>
  <c r="AO52" i="17"/>
  <c r="AN52" i="17"/>
  <c r="AM52" i="17"/>
  <c r="AL52" i="17"/>
  <c r="AK52" i="17"/>
  <c r="AJ52" i="17"/>
  <c r="AI52" i="17"/>
  <c r="AH52" i="17"/>
  <c r="AG52" i="17"/>
  <c r="AF52" i="17"/>
  <c r="AE52" i="17"/>
  <c r="AD52" i="17"/>
  <c r="AC52" i="17"/>
  <c r="AB52" i="17"/>
  <c r="AA52" i="17"/>
  <c r="Z52" i="17"/>
  <c r="Y52" i="17"/>
  <c r="X52" i="17"/>
  <c r="W52" i="17"/>
  <c r="V52" i="17"/>
  <c r="U52" i="17"/>
  <c r="T52" i="17"/>
  <c r="S52" i="17"/>
  <c r="R52" i="17"/>
  <c r="Q52" i="17"/>
  <c r="P52" i="17"/>
  <c r="O52" i="17"/>
  <c r="N52" i="17"/>
  <c r="M52" i="17"/>
  <c r="BH51" i="17"/>
  <c r="BG51" i="17"/>
  <c r="BF51" i="17"/>
  <c r="BE51" i="17"/>
  <c r="BD51" i="17"/>
  <c r="BC51" i="17"/>
  <c r="BB51" i="17"/>
  <c r="BA51" i="17"/>
  <c r="AZ51" i="17"/>
  <c r="AY51" i="17"/>
  <c r="AX51"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R51" i="17"/>
  <c r="Q51" i="17"/>
  <c r="P51" i="17"/>
  <c r="O51" i="17"/>
  <c r="N51" i="17"/>
  <c r="M51" i="17"/>
  <c r="BH49" i="17"/>
  <c r="BG49" i="17"/>
  <c r="BF49" i="17"/>
  <c r="BE49" i="17"/>
  <c r="BD49" i="17"/>
  <c r="BC49" i="17"/>
  <c r="BB49" i="17"/>
  <c r="BA49" i="17"/>
  <c r="AZ49" i="17"/>
  <c r="AY49" i="17"/>
  <c r="AX49" i="17"/>
  <c r="AW49" i="17"/>
  <c r="AV49" i="17"/>
  <c r="AU49" i="17"/>
  <c r="AT49" i="17"/>
  <c r="AS49" i="17"/>
  <c r="AR49" i="17"/>
  <c r="AQ49" i="17"/>
  <c r="AP49" i="17"/>
  <c r="AO49" i="17"/>
  <c r="AN49" i="17"/>
  <c r="AM49" i="17"/>
  <c r="AL49" i="17"/>
  <c r="AK49" i="17"/>
  <c r="AJ49" i="17"/>
  <c r="AI49" i="17"/>
  <c r="AH49" i="17"/>
  <c r="AG49" i="17"/>
  <c r="AF49" i="17"/>
  <c r="AE49" i="17"/>
  <c r="AD49" i="17"/>
  <c r="AC49" i="17"/>
  <c r="AB49" i="17"/>
  <c r="AA49" i="17"/>
  <c r="Z49" i="17"/>
  <c r="Y49" i="17"/>
  <c r="X49" i="17"/>
  <c r="W49" i="17"/>
  <c r="V49" i="17"/>
  <c r="U49" i="17"/>
  <c r="T49" i="17"/>
  <c r="S49" i="17"/>
  <c r="R49" i="17"/>
  <c r="Q49" i="17"/>
  <c r="P49" i="17"/>
  <c r="O49" i="17"/>
  <c r="N49" i="17"/>
  <c r="BH48" i="17"/>
  <c r="BG48" i="17"/>
  <c r="BF48" i="17"/>
  <c r="BE48" i="17"/>
  <c r="BD48" i="17"/>
  <c r="BC48" i="17"/>
  <c r="BB48" i="17"/>
  <c r="BA48" i="17"/>
  <c r="AZ48" i="17"/>
  <c r="AY48" i="17"/>
  <c r="AX48"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R48" i="17"/>
  <c r="Q48" i="17"/>
  <c r="P48" i="17"/>
  <c r="O48" i="17"/>
  <c r="N48" i="17"/>
  <c r="M49" i="17"/>
  <c r="M48" i="17"/>
  <c r="BH47" i="17"/>
  <c r="BG47" i="17"/>
  <c r="BF47" i="17"/>
  <c r="BE47" i="17"/>
  <c r="BD47" i="17"/>
  <c r="BC47" i="17"/>
  <c r="BB47" i="17"/>
  <c r="BA47" i="17"/>
  <c r="AZ47" i="17"/>
  <c r="AY47" i="17"/>
  <c r="AX47"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R47" i="17"/>
  <c r="Q47" i="17"/>
  <c r="P47" i="17"/>
  <c r="O47" i="17"/>
  <c r="N47" i="17"/>
  <c r="M47" i="17"/>
  <c r="BH46" i="17"/>
  <c r="BG46" i="17"/>
  <c r="BF46" i="17"/>
  <c r="BE46" i="17"/>
  <c r="BD46" i="17"/>
  <c r="BC46" i="17"/>
  <c r="BB46" i="17"/>
  <c r="BA46" i="17"/>
  <c r="AZ46" i="17"/>
  <c r="AY46" i="17"/>
  <c r="AX46" i="17"/>
  <c r="AW46" i="17"/>
  <c r="AV46" i="17"/>
  <c r="AU46" i="17"/>
  <c r="AT46" i="17"/>
  <c r="AS46" i="17"/>
  <c r="AR46" i="17"/>
  <c r="AQ46" i="17"/>
  <c r="AP46" i="17"/>
  <c r="AO46" i="17"/>
  <c r="AN46" i="17"/>
  <c r="AM46" i="17"/>
  <c r="AL46" i="17"/>
  <c r="AK46" i="17"/>
  <c r="AJ46" i="17"/>
  <c r="AI46" i="17"/>
  <c r="AH46" i="17"/>
  <c r="AG46" i="17"/>
  <c r="AF46" i="17"/>
  <c r="AE46" i="17"/>
  <c r="AD46" i="17"/>
  <c r="AC46" i="17"/>
  <c r="AB46" i="17"/>
  <c r="AA46" i="17"/>
  <c r="Z46" i="17"/>
  <c r="Y46" i="17"/>
  <c r="X46" i="17"/>
  <c r="W46" i="17"/>
  <c r="V46" i="17"/>
  <c r="U46" i="17"/>
  <c r="T46" i="17"/>
  <c r="S46" i="17"/>
  <c r="R46" i="17"/>
  <c r="Q46" i="17"/>
  <c r="P46" i="17"/>
  <c r="O46" i="17"/>
  <c r="N46" i="17"/>
  <c r="M46" i="17"/>
  <c r="BH38" i="17" l="1"/>
  <c r="BG38" i="17"/>
  <c r="BF38"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R38" i="17"/>
  <c r="Q38" i="17"/>
  <c r="P38" i="17"/>
  <c r="O38" i="17"/>
  <c r="N38" i="17"/>
  <c r="M38" i="17"/>
  <c r="F38" i="17" l="1"/>
  <c r="BH35" i="17" l="1"/>
  <c r="BG35" i="17"/>
  <c r="BF35" i="17"/>
  <c r="BE35" i="17"/>
  <c r="BD35" i="17"/>
  <c r="BC35" i="17"/>
  <c r="BB35" i="17"/>
  <c r="BA35" i="17"/>
  <c r="AZ35" i="17"/>
  <c r="AY35" i="17"/>
  <c r="AX35"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R35" i="17"/>
  <c r="Q35" i="17"/>
  <c r="P35" i="17"/>
  <c r="O35" i="17"/>
  <c r="N35" i="17"/>
  <c r="M35" i="17"/>
  <c r="F35" i="17" l="1"/>
  <c r="V51" i="19"/>
  <c r="V50" i="19"/>
  <c r="V49" i="19"/>
  <c r="V48" i="19"/>
  <c r="V47" i="19"/>
  <c r="V46" i="19"/>
  <c r="V45" i="19"/>
  <c r="V44" i="19"/>
  <c r="V43" i="19"/>
  <c r="V42" i="19"/>
  <c r="V41" i="19"/>
  <c r="V40" i="19"/>
  <c r="V39" i="19"/>
  <c r="V38" i="19"/>
  <c r="V37" i="19"/>
  <c r="V36" i="19"/>
  <c r="V35" i="19"/>
  <c r="V34" i="19"/>
  <c r="V33" i="19"/>
  <c r="V32" i="19"/>
  <c r="V31" i="19"/>
  <c r="V30" i="19"/>
  <c r="V29" i="19"/>
  <c r="V28" i="19"/>
  <c r="V27" i="19"/>
  <c r="V26" i="19"/>
  <c r="V25" i="19"/>
  <c r="V24" i="19"/>
  <c r="V23" i="19"/>
  <c r="V22" i="19"/>
  <c r="V21" i="19"/>
  <c r="V20" i="19"/>
  <c r="V19" i="19"/>
  <c r="V18" i="19"/>
  <c r="V17" i="19"/>
  <c r="V16" i="19"/>
  <c r="V15" i="19"/>
  <c r="V14" i="19"/>
  <c r="V13" i="19"/>
  <c r="V12" i="19"/>
  <c r="V11" i="19"/>
  <c r="V10" i="19"/>
  <c r="V9" i="19"/>
  <c r="V8" i="19"/>
  <c r="V7" i="19"/>
  <c r="V6" i="19"/>
  <c r="V5" i="19"/>
  <c r="V4" i="19"/>
  <c r="M109" i="17" l="1"/>
  <c r="M112" i="17"/>
  <c r="E13" i="22" l="1"/>
  <c r="BH32" i="17"/>
  <c r="BG32" i="17"/>
  <c r="BF32" i="17"/>
  <c r="BE32" i="17"/>
  <c r="BD32" i="17"/>
  <c r="BC32" i="17"/>
  <c r="BB32" i="17"/>
  <c r="BA32" i="17"/>
  <c r="AZ32" i="17"/>
  <c r="AY32" i="17"/>
  <c r="AX32"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BH15" i="17"/>
  <c r="BG15" i="17"/>
  <c r="BF15" i="17"/>
  <c r="BE15" i="17"/>
  <c r="BD15" i="17"/>
  <c r="BC15" i="17"/>
  <c r="BB15" i="17"/>
  <c r="BA15" i="17"/>
  <c r="AZ15" i="17"/>
  <c r="AY15" i="17"/>
  <c r="AX15" i="17"/>
  <c r="AW15" i="17"/>
  <c r="AV15" i="17"/>
  <c r="AU15" i="17"/>
  <c r="AT15" i="17"/>
  <c r="AS15" i="17"/>
  <c r="AR15" i="17"/>
  <c r="AQ15" i="17"/>
  <c r="AP15" i="17"/>
  <c r="AO15" i="17"/>
  <c r="AN15" i="17"/>
  <c r="AM15" i="17"/>
  <c r="AL15" i="17"/>
  <c r="AK15" i="17"/>
  <c r="AJ15" i="17"/>
  <c r="AI15" i="17"/>
  <c r="AH15" i="17"/>
  <c r="AG15" i="17"/>
  <c r="AF15" i="17"/>
  <c r="AE15" i="17"/>
  <c r="AD15" i="17"/>
  <c r="AC15" i="17"/>
  <c r="AB15" i="17"/>
  <c r="AA15" i="17"/>
  <c r="Z15" i="17"/>
  <c r="Y15" i="17"/>
  <c r="X15" i="17"/>
  <c r="W15" i="17"/>
  <c r="V15" i="17"/>
  <c r="U15" i="17"/>
  <c r="T15" i="17"/>
  <c r="S15" i="17"/>
  <c r="R15" i="17"/>
  <c r="Q15" i="17"/>
  <c r="P15" i="17"/>
  <c r="O15" i="17"/>
  <c r="N15" i="17"/>
  <c r="M15" i="17"/>
  <c r="F107" i="17"/>
  <c r="F106" i="17"/>
  <c r="BH22" i="17"/>
  <c r="BG22" i="17"/>
  <c r="BF22" i="17"/>
  <c r="BE22" i="17"/>
  <c r="BD22" i="17"/>
  <c r="BC22" i="17"/>
  <c r="BB22" i="17"/>
  <c r="BA22" i="17"/>
  <c r="AZ22" i="17"/>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BH21" i="17"/>
  <c r="BG21" i="17"/>
  <c r="BF21" i="17"/>
  <c r="BE21" i="17"/>
  <c r="BD21" i="17"/>
  <c r="BC21" i="17"/>
  <c r="BB21" i="17"/>
  <c r="BA21" i="17"/>
  <c r="AZ21" i="17"/>
  <c r="AY21" i="17"/>
  <c r="AX21" i="17"/>
  <c r="AW21" i="17"/>
  <c r="AV21" i="17"/>
  <c r="AU21" i="17"/>
  <c r="AT21" i="17"/>
  <c r="AS21" i="17"/>
  <c r="AR21" i="17"/>
  <c r="AQ21" i="17"/>
  <c r="AP21" i="17"/>
  <c r="AO21" i="17"/>
  <c r="AN21" i="17"/>
  <c r="AM21" i="17"/>
  <c r="AL21" i="17"/>
  <c r="AK21" i="17"/>
  <c r="AJ21" i="17"/>
  <c r="AI21" i="17"/>
  <c r="AH21" i="17"/>
  <c r="AG21" i="17"/>
  <c r="AF21" i="17"/>
  <c r="AE21" i="17"/>
  <c r="AD21" i="17"/>
  <c r="AC21" i="17"/>
  <c r="AB21" i="17"/>
  <c r="AA21" i="17"/>
  <c r="Z21" i="17"/>
  <c r="Y21" i="17"/>
  <c r="X21" i="17"/>
  <c r="W21" i="17"/>
  <c r="V21" i="17"/>
  <c r="U21" i="17"/>
  <c r="T21" i="17"/>
  <c r="S21" i="17"/>
  <c r="R21" i="17"/>
  <c r="Q21" i="17"/>
  <c r="P21" i="17"/>
  <c r="O21" i="17"/>
  <c r="N21" i="17"/>
  <c r="M22" i="17"/>
  <c r="M20" i="17"/>
  <c r="M21" i="17"/>
  <c r="M19" i="17"/>
  <c r="BH20" i="17"/>
  <c r="BG20" i="17"/>
  <c r="BF20" i="17"/>
  <c r="BE20" i="17"/>
  <c r="BD20" i="17"/>
  <c r="BC20" i="17"/>
  <c r="BB20" i="17"/>
  <c r="BA20" i="17"/>
  <c r="AZ20" i="17"/>
  <c r="AY20" i="17"/>
  <c r="AX20" i="17"/>
  <c r="AW20" i="17"/>
  <c r="AV20" i="17"/>
  <c r="AU20" i="17"/>
  <c r="AT20" i="17"/>
  <c r="AS20" i="17"/>
  <c r="AR20" i="17"/>
  <c r="AQ20" i="17"/>
  <c r="AP20" i="17"/>
  <c r="AO20" i="17"/>
  <c r="AN20" i="17"/>
  <c r="AM20" i="17"/>
  <c r="AL20" i="17"/>
  <c r="AK20" i="17"/>
  <c r="AJ20" i="17"/>
  <c r="AI20" i="17"/>
  <c r="AH20" i="17"/>
  <c r="AG20" i="17"/>
  <c r="AF20" i="17"/>
  <c r="AE20" i="17"/>
  <c r="AD20" i="17"/>
  <c r="AC20" i="17"/>
  <c r="AB20" i="17"/>
  <c r="AA20" i="17"/>
  <c r="Z20" i="17"/>
  <c r="Y20" i="17"/>
  <c r="X20" i="17"/>
  <c r="W20" i="17"/>
  <c r="V20" i="17"/>
  <c r="U20" i="17"/>
  <c r="T20" i="17"/>
  <c r="S20" i="17"/>
  <c r="R20" i="17"/>
  <c r="Q20" i="17"/>
  <c r="P20" i="17"/>
  <c r="O20" i="17"/>
  <c r="N20" i="17"/>
  <c r="BH19" i="17"/>
  <c r="BG19" i="17"/>
  <c r="BF19" i="17"/>
  <c r="BE19" i="17"/>
  <c r="BD19" i="17"/>
  <c r="BC19" i="17"/>
  <c r="BB19" i="17"/>
  <c r="BA19" i="17"/>
  <c r="AZ19" i="17"/>
  <c r="AY19" i="17"/>
  <c r="AX19" i="17"/>
  <c r="AW19" i="17"/>
  <c r="AV19" i="17"/>
  <c r="AU19" i="17"/>
  <c r="AT19" i="17"/>
  <c r="AS19" i="17"/>
  <c r="AR19" i="17"/>
  <c r="AQ19" i="17"/>
  <c r="AP19" i="17"/>
  <c r="AO19" i="17"/>
  <c r="AN19" i="17"/>
  <c r="AM19" i="17"/>
  <c r="AL19" i="17"/>
  <c r="AK19" i="17"/>
  <c r="AJ19" i="17"/>
  <c r="AI19" i="17"/>
  <c r="AH19" i="17"/>
  <c r="AG19" i="17"/>
  <c r="AF19" i="17"/>
  <c r="AE19" i="17"/>
  <c r="AD19" i="17"/>
  <c r="AC19" i="17"/>
  <c r="AB19" i="17"/>
  <c r="AA19" i="17"/>
  <c r="Z19" i="17"/>
  <c r="Y19" i="17"/>
  <c r="X19" i="17"/>
  <c r="W19" i="17"/>
  <c r="V19" i="17"/>
  <c r="U19" i="17"/>
  <c r="T19" i="17"/>
  <c r="S19" i="17"/>
  <c r="R19" i="17"/>
  <c r="Q19" i="17"/>
  <c r="P19" i="17"/>
  <c r="O19" i="17"/>
  <c r="N19" i="17"/>
  <c r="M142" i="17"/>
  <c r="M141" i="17"/>
  <c r="M140" i="17"/>
  <c r="M139" i="17"/>
  <c r="M138" i="17"/>
  <c r="M137" i="17"/>
  <c r="M136" i="17"/>
  <c r="M135" i="17"/>
  <c r="M134" i="17"/>
  <c r="M133" i="17"/>
  <c r="M119" i="17"/>
  <c r="M102" i="17"/>
  <c r="M101" i="17"/>
  <c r="M100" i="17"/>
  <c r="M99" i="17"/>
  <c r="M90" i="17"/>
  <c r="M88" i="17"/>
  <c r="M87" i="17"/>
  <c r="M84" i="17"/>
  <c r="M81" i="17"/>
  <c r="M79" i="17"/>
  <c r="M55" i="17"/>
  <c r="G56" i="27"/>
  <c r="E4" i="22"/>
  <c r="BH137" i="17"/>
  <c r="BG137" i="17"/>
  <c r="BF137" i="17"/>
  <c r="BE137" i="17"/>
  <c r="BD137" i="17"/>
  <c r="BC137" i="17"/>
  <c r="BB137" i="17"/>
  <c r="BA137" i="17"/>
  <c r="AZ137" i="17"/>
  <c r="AY137" i="17"/>
  <c r="AX137" i="17"/>
  <c r="AW137" i="17"/>
  <c r="AV137" i="17"/>
  <c r="AU137" i="17"/>
  <c r="AT137" i="17"/>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S137" i="17"/>
  <c r="R137" i="17"/>
  <c r="Q137" i="17"/>
  <c r="P137" i="17"/>
  <c r="O137" i="17"/>
  <c r="N137" i="17"/>
  <c r="BH134" i="17"/>
  <c r="BG134" i="17"/>
  <c r="BF134" i="17"/>
  <c r="BE134" i="17"/>
  <c r="BD134" i="17"/>
  <c r="BC134" i="17"/>
  <c r="BB134" i="17"/>
  <c r="BA134" i="17"/>
  <c r="AZ134" i="17"/>
  <c r="AY134" i="17"/>
  <c r="AX134"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Z134" i="17"/>
  <c r="Y134" i="17"/>
  <c r="X134" i="17"/>
  <c r="W134" i="17"/>
  <c r="V134" i="17"/>
  <c r="U134" i="17"/>
  <c r="T134" i="17"/>
  <c r="S134" i="17"/>
  <c r="R134" i="17"/>
  <c r="Q134" i="17"/>
  <c r="P134" i="17"/>
  <c r="O134" i="17"/>
  <c r="N134" i="17"/>
  <c r="BH133" i="17"/>
  <c r="BG133" i="17"/>
  <c r="BF133" i="17"/>
  <c r="BE133" i="17"/>
  <c r="BD133" i="17"/>
  <c r="BC133" i="17"/>
  <c r="BB133" i="17"/>
  <c r="BA133" i="17"/>
  <c r="AZ133" i="17"/>
  <c r="AY133" i="17"/>
  <c r="AX133" i="17"/>
  <c r="AW133" i="17"/>
  <c r="AV133" i="17"/>
  <c r="AU133" i="17"/>
  <c r="AT133" i="17"/>
  <c r="AS133" i="17"/>
  <c r="AR133" i="17"/>
  <c r="AQ133" i="17"/>
  <c r="AP133" i="17"/>
  <c r="AO133" i="17"/>
  <c r="AN133" i="17"/>
  <c r="AM133" i="17"/>
  <c r="AL133" i="17"/>
  <c r="AK133" i="17"/>
  <c r="AJ133" i="17"/>
  <c r="AI133" i="17"/>
  <c r="AH133" i="17"/>
  <c r="AG133" i="17"/>
  <c r="AF133" i="17"/>
  <c r="AE133" i="17"/>
  <c r="AD133" i="17"/>
  <c r="AC133" i="17"/>
  <c r="AB133" i="17"/>
  <c r="AA133" i="17"/>
  <c r="Z133" i="17"/>
  <c r="Y133" i="17"/>
  <c r="X133" i="17"/>
  <c r="W133" i="17"/>
  <c r="V133" i="17"/>
  <c r="U133" i="17"/>
  <c r="T133" i="17"/>
  <c r="S133" i="17"/>
  <c r="R133" i="17"/>
  <c r="Q133" i="17"/>
  <c r="P133" i="17"/>
  <c r="O133" i="17"/>
  <c r="N133" i="17"/>
  <c r="BH136" i="17"/>
  <c r="BG136" i="17"/>
  <c r="BF136" i="17"/>
  <c r="BE136" i="17"/>
  <c r="BD136" i="17"/>
  <c r="BC136" i="17"/>
  <c r="BB136" i="17"/>
  <c r="BA136" i="17"/>
  <c r="AZ136" i="17"/>
  <c r="AY136" i="17"/>
  <c r="AX136" i="17"/>
  <c r="AW136" i="17"/>
  <c r="AV136" i="17"/>
  <c r="AU136" i="17"/>
  <c r="AT136" i="17"/>
  <c r="AS136" i="17"/>
  <c r="AR136" i="17"/>
  <c r="AQ136" i="17"/>
  <c r="AP136" i="17"/>
  <c r="AO136" i="17"/>
  <c r="AN136" i="17"/>
  <c r="AM136" i="17"/>
  <c r="AL136" i="17"/>
  <c r="AK136" i="17"/>
  <c r="AJ136" i="17"/>
  <c r="AI136" i="17"/>
  <c r="AH136" i="17"/>
  <c r="AG136" i="17"/>
  <c r="AF136" i="17"/>
  <c r="AE136" i="17"/>
  <c r="AD136" i="17"/>
  <c r="AC136" i="17"/>
  <c r="AB136" i="17"/>
  <c r="AA136" i="17"/>
  <c r="Z136" i="17"/>
  <c r="Y136" i="17"/>
  <c r="X136" i="17"/>
  <c r="W136" i="17"/>
  <c r="V136" i="17"/>
  <c r="U136" i="17"/>
  <c r="T136" i="17"/>
  <c r="S136" i="17"/>
  <c r="R136" i="17"/>
  <c r="Q136" i="17"/>
  <c r="P136" i="17"/>
  <c r="O136" i="17"/>
  <c r="N136" i="17"/>
  <c r="BH135" i="17"/>
  <c r="BG135" i="17"/>
  <c r="BF135" i="17"/>
  <c r="BE135" i="17"/>
  <c r="BD135" i="17"/>
  <c r="BC135" i="17"/>
  <c r="BB135" i="17"/>
  <c r="BA135" i="17"/>
  <c r="AZ135" i="17"/>
  <c r="AY135" i="17"/>
  <c r="AX135" i="17"/>
  <c r="AW135" i="17"/>
  <c r="AV135" i="17"/>
  <c r="AU135" i="17"/>
  <c r="AT135" i="17"/>
  <c r="AS135" i="17"/>
  <c r="AR135" i="17"/>
  <c r="AQ135" i="17"/>
  <c r="AP135" i="17"/>
  <c r="AO135" i="17"/>
  <c r="AN135" i="17"/>
  <c r="AM135" i="17"/>
  <c r="AL135" i="17"/>
  <c r="AK135" i="17"/>
  <c r="AJ135" i="17"/>
  <c r="AI135" i="17"/>
  <c r="AH135" i="17"/>
  <c r="AG135" i="17"/>
  <c r="AF135" i="17"/>
  <c r="AE135" i="17"/>
  <c r="AD135" i="17"/>
  <c r="AC135" i="17"/>
  <c r="AB135" i="17"/>
  <c r="AA135" i="17"/>
  <c r="Z135" i="17"/>
  <c r="Y135" i="17"/>
  <c r="X135" i="17"/>
  <c r="W135" i="17"/>
  <c r="V135" i="17"/>
  <c r="U135" i="17"/>
  <c r="T135" i="17"/>
  <c r="S135" i="17"/>
  <c r="R135" i="17"/>
  <c r="Q135" i="17"/>
  <c r="P135" i="17"/>
  <c r="O135" i="17"/>
  <c r="N135" i="17"/>
  <c r="E51" i="27"/>
  <c r="ES51" i="27" s="1"/>
  <c r="E50" i="27"/>
  <c r="E49" i="27"/>
  <c r="E48" i="27"/>
  <c r="E47" i="27"/>
  <c r="ES47" i="27" s="1"/>
  <c r="E46" i="27"/>
  <c r="ES46" i="27" s="1"/>
  <c r="E45" i="27"/>
  <c r="E44" i="27"/>
  <c r="E43" i="27"/>
  <c r="E42" i="27"/>
  <c r="ES42" i="27" s="1"/>
  <c r="E41" i="27"/>
  <c r="ES41" i="27" s="1"/>
  <c r="E40" i="27"/>
  <c r="E39" i="27"/>
  <c r="ES39" i="27" s="1"/>
  <c r="E38" i="27"/>
  <c r="ES38" i="27" s="1"/>
  <c r="E37" i="27"/>
  <c r="E36" i="27"/>
  <c r="E35" i="27"/>
  <c r="ES35" i="27" s="1"/>
  <c r="E34" i="27"/>
  <c r="ES34" i="27" s="1"/>
  <c r="E33" i="27"/>
  <c r="E32" i="27"/>
  <c r="E31" i="27"/>
  <c r="ES31" i="27" s="1"/>
  <c r="E30" i="27"/>
  <c r="E29" i="27"/>
  <c r="E28" i="27"/>
  <c r="E27" i="27"/>
  <c r="ES27" i="27" s="1"/>
  <c r="E26" i="27"/>
  <c r="E25" i="27"/>
  <c r="E24" i="27"/>
  <c r="E23" i="27"/>
  <c r="ES23" i="27"/>
  <c r="E22" i="27"/>
  <c r="ES22" i="27" s="1"/>
  <c r="E21" i="27"/>
  <c r="E20" i="27"/>
  <c r="E19" i="27"/>
  <c r="ES19" i="27" s="1"/>
  <c r="E18" i="27"/>
  <c r="E17" i="27"/>
  <c r="E16" i="27"/>
  <c r="E15" i="27"/>
  <c r="E14" i="27"/>
  <c r="ES14" i="27" s="1"/>
  <c r="E13" i="27"/>
  <c r="Q13" i="19" s="1"/>
  <c r="V9" i="17" s="1"/>
  <c r="E12" i="27"/>
  <c r="E11" i="27"/>
  <c r="ES11" i="27" s="1"/>
  <c r="E10" i="27"/>
  <c r="Q10" i="19" s="1"/>
  <c r="E9" i="27"/>
  <c r="ES9" i="27" s="1"/>
  <c r="E8" i="27"/>
  <c r="E7" i="27"/>
  <c r="ES7" i="27" s="1"/>
  <c r="E6" i="27"/>
  <c r="E5" i="27"/>
  <c r="E4" i="27"/>
  <c r="Q51" i="27"/>
  <c r="BI51" i="27" s="1"/>
  <c r="EC51" i="27" s="1"/>
  <c r="EL51" i="27" s="1"/>
  <c r="AM51" i="27"/>
  <c r="AO51" i="27" s="1"/>
  <c r="AM50" i="27"/>
  <c r="AO50" i="27" s="1"/>
  <c r="K50" i="28" s="1"/>
  <c r="T50" i="28" s="1"/>
  <c r="Q49" i="27"/>
  <c r="AM49" i="27"/>
  <c r="AO49" i="27" s="1"/>
  <c r="AM48" i="27"/>
  <c r="AO48" i="27"/>
  <c r="AM47" i="27"/>
  <c r="AO47" i="27" s="1"/>
  <c r="K47" i="28" s="1"/>
  <c r="T47" i="28" s="1"/>
  <c r="Q46" i="27"/>
  <c r="BI46" i="27" s="1"/>
  <c r="AM46" i="27"/>
  <c r="AO46" i="27" s="1"/>
  <c r="K46" i="28" s="1"/>
  <c r="T46" i="28" s="1"/>
  <c r="Q45" i="27"/>
  <c r="L45" i="19" s="1"/>
  <c r="AM45" i="27"/>
  <c r="AO45" i="27" s="1"/>
  <c r="I45" i="28" s="1"/>
  <c r="R45" i="28" s="1"/>
  <c r="AM44" i="27"/>
  <c r="AO44" i="27" s="1"/>
  <c r="AM43" i="27"/>
  <c r="AO43" i="27" s="1"/>
  <c r="AM42" i="27"/>
  <c r="AO42" i="27" s="1"/>
  <c r="BF42" i="27"/>
  <c r="Q41" i="27"/>
  <c r="BJ41" i="27" s="1"/>
  <c r="AM41" i="27"/>
  <c r="AO41" i="27" s="1"/>
  <c r="BH41" i="27" s="1"/>
  <c r="DP41" i="27" s="1"/>
  <c r="AM40" i="27"/>
  <c r="AO40" i="27" s="1"/>
  <c r="BJ40" i="27" s="1"/>
  <c r="BG40" i="27"/>
  <c r="EA40" i="27" s="1"/>
  <c r="EN40" i="27" s="1"/>
  <c r="Q39" i="27"/>
  <c r="AM39" i="27"/>
  <c r="AO39" i="27" s="1"/>
  <c r="Q38" i="27"/>
  <c r="BI38" i="27" s="1"/>
  <c r="AO38" i="27"/>
  <c r="L38" i="28" s="1"/>
  <c r="U38" i="28" s="1"/>
  <c r="Q37" i="27"/>
  <c r="BI37" i="27" s="1"/>
  <c r="AM37" i="27"/>
  <c r="AO37" i="27" s="1"/>
  <c r="L37" i="28" s="1"/>
  <c r="U37" i="28" s="1"/>
  <c r="Q36" i="27"/>
  <c r="AM36" i="27"/>
  <c r="AO36" i="27" s="1"/>
  <c r="L36" i="28" s="1"/>
  <c r="U36" i="28" s="1"/>
  <c r="Q35" i="27"/>
  <c r="BI35" i="27" s="1"/>
  <c r="EC35" i="27" s="1"/>
  <c r="EL35" i="27" s="1"/>
  <c r="AM35" i="27"/>
  <c r="AO35" i="27" s="1"/>
  <c r="K35" i="28" s="1"/>
  <c r="T35" i="28" s="1"/>
  <c r="AM34" i="27"/>
  <c r="AO34" i="27" s="1"/>
  <c r="Q33" i="27"/>
  <c r="AO33" i="27"/>
  <c r="BF33" i="27" s="1"/>
  <c r="DZ33" i="27" s="1"/>
  <c r="EO33" i="27" s="1"/>
  <c r="AM32" i="27"/>
  <c r="AO32" i="27" s="1"/>
  <c r="M32" i="28" s="1"/>
  <c r="V32" i="28" s="1"/>
  <c r="AO31" i="27"/>
  <c r="I31" i="28" s="1"/>
  <c r="R31" i="28" s="1"/>
  <c r="Q30" i="27"/>
  <c r="BI30" i="27"/>
  <c r="EC30" i="27" s="1"/>
  <c r="EL30" i="27" s="1"/>
  <c r="AO30" i="27"/>
  <c r="I30" i="28" s="1"/>
  <c r="Q29" i="27"/>
  <c r="AO29" i="27"/>
  <c r="J29" i="28"/>
  <c r="S29" i="28" s="1"/>
  <c r="Q28" i="27"/>
  <c r="BI28" i="27" s="1"/>
  <c r="EC28" i="27" s="1"/>
  <c r="EL28" i="27" s="1"/>
  <c r="AM28" i="27"/>
  <c r="AO28" i="27" s="1"/>
  <c r="I28" i="28" s="1"/>
  <c r="R28" i="28" s="1"/>
  <c r="Q27" i="27"/>
  <c r="BI27" i="27" s="1"/>
  <c r="EC27" i="27" s="1"/>
  <c r="EL27" i="27" s="1"/>
  <c r="AO27" i="27"/>
  <c r="Q26" i="27"/>
  <c r="L26" i="19" s="1"/>
  <c r="AO26" i="27"/>
  <c r="AM25" i="27"/>
  <c r="AO25" i="27" s="1"/>
  <c r="BH25" i="27" s="1"/>
  <c r="AO24" i="27"/>
  <c r="K24" i="28" s="1"/>
  <c r="T24" i="28" s="1"/>
  <c r="AM23" i="27"/>
  <c r="AO23" i="27"/>
  <c r="BH23" i="27" s="1"/>
  <c r="BH75" i="27" s="1"/>
  <c r="AM22" i="27"/>
  <c r="AO22" i="27" s="1"/>
  <c r="M22" i="28" s="1"/>
  <c r="V22" i="28" s="1"/>
  <c r="AM21" i="27"/>
  <c r="AO21" i="27" s="1"/>
  <c r="BH21" i="27" s="1"/>
  <c r="DP21" i="27" s="1"/>
  <c r="AM20" i="27"/>
  <c r="AO20" i="27" s="1"/>
  <c r="Q19" i="27"/>
  <c r="AM19" i="27"/>
  <c r="AO19" i="27" s="1"/>
  <c r="I19" i="28" s="1"/>
  <c r="R19" i="28" s="1"/>
  <c r="AM18" i="27"/>
  <c r="AO18" i="27" s="1"/>
  <c r="Q17" i="27"/>
  <c r="AM17" i="27"/>
  <c r="AO17" i="27" s="1"/>
  <c r="AM16" i="27"/>
  <c r="AO16" i="27" s="1"/>
  <c r="J16" i="28"/>
  <c r="S16" i="28" s="1"/>
  <c r="AM15" i="27"/>
  <c r="AO15" i="27" s="1"/>
  <c r="L15" i="28" s="1"/>
  <c r="U15" i="28" s="1"/>
  <c r="AO14" i="27"/>
  <c r="L14" i="28" s="1"/>
  <c r="U14" i="28" s="1"/>
  <c r="Q13" i="27"/>
  <c r="L13" i="19"/>
  <c r="AM13" i="27"/>
  <c r="AO13" i="27" s="1"/>
  <c r="I13" i="28" s="1"/>
  <c r="R13" i="28" s="1"/>
  <c r="AM12" i="27"/>
  <c r="AO12" i="27" s="1"/>
  <c r="K12" i="28" s="1"/>
  <c r="AO11" i="27"/>
  <c r="M11" i="28" s="1"/>
  <c r="V11" i="28" s="1"/>
  <c r="Q10" i="27"/>
  <c r="AO10" i="27"/>
  <c r="K10" i="28" s="1"/>
  <c r="T10" i="28" s="1"/>
  <c r="AO9" i="27"/>
  <c r="L9" i="28" s="1"/>
  <c r="U9" i="28" s="1"/>
  <c r="Q8" i="27"/>
  <c r="AO8" i="27"/>
  <c r="AM7" i="27"/>
  <c r="AO7" i="27"/>
  <c r="AO6" i="27"/>
  <c r="AM5" i="27"/>
  <c r="AO5" i="27" s="1"/>
  <c r="AM4" i="27"/>
  <c r="AO4" i="27" s="1"/>
  <c r="BM4" i="27"/>
  <c r="BL4" i="27"/>
  <c r="EF4" i="27" s="1"/>
  <c r="EI4" i="27" s="1"/>
  <c r="Q4" i="27"/>
  <c r="BK4" i="27" s="1"/>
  <c r="EE4" i="27" s="1"/>
  <c r="EJ4" i="27" s="1"/>
  <c r="BM51" i="27"/>
  <c r="EG51" i="27" s="1"/>
  <c r="EH51" i="27" s="1"/>
  <c r="BL51" i="27"/>
  <c r="EF51" i="27" s="1"/>
  <c r="EI51" i="27" s="1"/>
  <c r="BK51" i="27"/>
  <c r="EE51" i="27" s="1"/>
  <c r="EJ51" i="27" s="1"/>
  <c r="BJ51" i="27"/>
  <c r="ED51" i="27" s="1"/>
  <c r="EK51" i="27" s="1"/>
  <c r="BM49" i="27"/>
  <c r="EG49" i="27" s="1"/>
  <c r="EH49" i="27" s="1"/>
  <c r="BL49" i="27"/>
  <c r="BL112" i="27"/>
  <c r="BK49" i="27"/>
  <c r="BJ49" i="27"/>
  <c r="ED49" i="27" s="1"/>
  <c r="EK49" i="27" s="1"/>
  <c r="BM48" i="27"/>
  <c r="EG48" i="27"/>
  <c r="EH48" i="27" s="1"/>
  <c r="BL48" i="27"/>
  <c r="BK48" i="27"/>
  <c r="EE48" i="27" s="1"/>
  <c r="EJ48" i="27" s="1"/>
  <c r="Q48" i="27"/>
  <c r="BJ48" i="27" s="1"/>
  <c r="EH3" i="27"/>
  <c r="EI3" i="27"/>
  <c r="EJ3" i="27"/>
  <c r="EK3" i="27"/>
  <c r="EL3" i="27"/>
  <c r="EM3" i="27"/>
  <c r="EN3" i="27"/>
  <c r="EO3" i="27"/>
  <c r="BM47" i="27"/>
  <c r="EG47" i="27" s="1"/>
  <c r="EH47" i="27" s="1"/>
  <c r="BL47" i="27"/>
  <c r="BK47" i="27"/>
  <c r="EE47" i="27" s="1"/>
  <c r="EJ47" i="27" s="1"/>
  <c r="Q47" i="27"/>
  <c r="BJ47" i="27" s="1"/>
  <c r="ED47" i="27" s="1"/>
  <c r="EK47" i="27" s="1"/>
  <c r="BM46" i="27"/>
  <c r="BM108" i="27"/>
  <c r="BL46" i="27"/>
  <c r="BK46" i="27"/>
  <c r="EE46" i="27" s="1"/>
  <c r="EJ46" i="27" s="1"/>
  <c r="BJ46" i="27"/>
  <c r="BM45" i="27"/>
  <c r="EG45" i="27" s="1"/>
  <c r="EH45" i="27" s="1"/>
  <c r="BL45" i="27"/>
  <c r="EF45" i="27" s="1"/>
  <c r="EI45" i="27" s="1"/>
  <c r="BK45" i="27"/>
  <c r="EE45" i="27" s="1"/>
  <c r="EJ45" i="27" s="1"/>
  <c r="BJ45" i="27"/>
  <c r="BM44" i="27"/>
  <c r="Q44" i="27"/>
  <c r="BM43" i="27"/>
  <c r="BL43" i="27"/>
  <c r="EF43" i="27" s="1"/>
  <c r="EI43" i="27" s="1"/>
  <c r="Q43" i="27"/>
  <c r="BK43" i="27" s="1"/>
  <c r="EE43" i="27" s="1"/>
  <c r="EJ43" i="27" s="1"/>
  <c r="BM41" i="27"/>
  <c r="BL41" i="27"/>
  <c r="EF41" i="27" s="1"/>
  <c r="EI41" i="27" s="1"/>
  <c r="BK41" i="27"/>
  <c r="EE41" i="27" s="1"/>
  <c r="EJ41" i="27" s="1"/>
  <c r="BM40" i="27"/>
  <c r="BM99" i="27" s="1"/>
  <c r="BM39" i="27"/>
  <c r="EG39" i="27" s="1"/>
  <c r="EH39" i="27"/>
  <c r="BL39" i="27"/>
  <c r="BK39" i="27"/>
  <c r="BJ39" i="27"/>
  <c r="ED39" i="27"/>
  <c r="EK39" i="27" s="1"/>
  <c r="BM38" i="27"/>
  <c r="EG38" i="27" s="1"/>
  <c r="EH38" i="27"/>
  <c r="BL38" i="27"/>
  <c r="BK38" i="27"/>
  <c r="BJ38" i="27"/>
  <c r="ED38" i="27"/>
  <c r="EK38" i="27" s="1"/>
  <c r="BM37" i="27"/>
  <c r="BL37" i="27"/>
  <c r="BK37" i="27"/>
  <c r="BJ37" i="27"/>
  <c r="BM36" i="27"/>
  <c r="EG36" i="27" s="1"/>
  <c r="EH36" i="27" s="1"/>
  <c r="BL36" i="27"/>
  <c r="BK36" i="27"/>
  <c r="EE36" i="27" s="1"/>
  <c r="EJ36" i="27" s="1"/>
  <c r="BJ36" i="27"/>
  <c r="BM35" i="27"/>
  <c r="EG35" i="27" s="1"/>
  <c r="EH35" i="27"/>
  <c r="BL35" i="27"/>
  <c r="BK35" i="27"/>
  <c r="BJ35" i="27"/>
  <c r="ED35" i="27"/>
  <c r="EK35" i="27" s="1"/>
  <c r="BM34" i="27"/>
  <c r="EG34" i="27" s="1"/>
  <c r="EH34" i="27"/>
  <c r="BL34" i="27"/>
  <c r="EF34" i="27"/>
  <c r="EI34" i="27" s="1"/>
  <c r="Q34" i="27"/>
  <c r="BM33" i="27"/>
  <c r="EG33" i="27" s="1"/>
  <c r="EH33" i="27" s="1"/>
  <c r="BL33" i="27"/>
  <c r="BK33" i="27"/>
  <c r="BJ33" i="27"/>
  <c r="BM32" i="27"/>
  <c r="EG32" i="27" s="1"/>
  <c r="EH32" i="27" s="1"/>
  <c r="BL32" i="27"/>
  <c r="EF32" i="27" s="1"/>
  <c r="EI32" i="27" s="1"/>
  <c r="BK32" i="27"/>
  <c r="Q32" i="27"/>
  <c r="BJ32" i="27" s="1"/>
  <c r="BM31" i="27"/>
  <c r="BL31" i="27"/>
  <c r="EF31" i="27" s="1"/>
  <c r="EI31" i="27" s="1"/>
  <c r="BK31" i="27"/>
  <c r="EE31" i="27" s="1"/>
  <c r="EJ31" i="27" s="1"/>
  <c r="Q31" i="27"/>
  <c r="BM29" i="27"/>
  <c r="BL29" i="27"/>
  <c r="EF29" i="27"/>
  <c r="EI29" i="27" s="1"/>
  <c r="BK29" i="27"/>
  <c r="BJ29" i="27"/>
  <c r="BJ81" i="27" s="1"/>
  <c r="BM28" i="27"/>
  <c r="EG28" i="27" s="1"/>
  <c r="EH28" i="27" s="1"/>
  <c r="BL28" i="27"/>
  <c r="EF28" i="27" s="1"/>
  <c r="EI28" i="27" s="1"/>
  <c r="BK28" i="27"/>
  <c r="EE28" i="27"/>
  <c r="EJ28" i="27" s="1"/>
  <c r="BJ28" i="27"/>
  <c r="ED28" i="27" s="1"/>
  <c r="EK28" i="27" s="1"/>
  <c r="BM27" i="27"/>
  <c r="EG27" i="27" s="1"/>
  <c r="EH27" i="27" s="1"/>
  <c r="BL27" i="27"/>
  <c r="BK27" i="27"/>
  <c r="EE27" i="27" s="1"/>
  <c r="EJ27" i="27" s="1"/>
  <c r="BJ27" i="27"/>
  <c r="ED27" i="27" s="1"/>
  <c r="EK27" i="27" s="1"/>
  <c r="BM26" i="27"/>
  <c r="BL26" i="27"/>
  <c r="BK26" i="27"/>
  <c r="EE26" i="27" s="1"/>
  <c r="EJ26" i="27" s="1"/>
  <c r="BJ26" i="27"/>
  <c r="ED26" i="27" s="1"/>
  <c r="EK26" i="27" s="1"/>
  <c r="BM25" i="27"/>
  <c r="EG25" i="27"/>
  <c r="EH25" i="27" s="1"/>
  <c r="BL25" i="27"/>
  <c r="Q25" i="27"/>
  <c r="BM24" i="27"/>
  <c r="EG24" i="27" s="1"/>
  <c r="EH24" i="27" s="1"/>
  <c r="BL24" i="27"/>
  <c r="Q24" i="27"/>
  <c r="BK24" i="27" s="1"/>
  <c r="EE24" i="27" s="1"/>
  <c r="EJ24" i="27" s="1"/>
  <c r="BM23" i="27"/>
  <c r="BL23" i="27"/>
  <c r="EF23" i="27" s="1"/>
  <c r="EI23" i="27" s="1"/>
  <c r="BK23" i="27"/>
  <c r="Q23" i="27"/>
  <c r="BJ23" i="27" s="1"/>
  <c r="ED23" i="27" s="1"/>
  <c r="EK23" i="27" s="1"/>
  <c r="BM22" i="27"/>
  <c r="EG22" i="27" s="1"/>
  <c r="EH22" i="27" s="1"/>
  <c r="BL22" i="27"/>
  <c r="Q22" i="27"/>
  <c r="BK22" i="27" s="1"/>
  <c r="BM21" i="27"/>
  <c r="BM73" i="27" s="1"/>
  <c r="BL21" i="27"/>
  <c r="EF21" i="27" s="1"/>
  <c r="EI21" i="27" s="1"/>
  <c r="Q21" i="27"/>
  <c r="BM20" i="27"/>
  <c r="EG20" i="27" s="1"/>
  <c r="EH20" i="27" s="1"/>
  <c r="BL20" i="27"/>
  <c r="EF20" i="27"/>
  <c r="EI20" i="27" s="1"/>
  <c r="Q20" i="27"/>
  <c r="BM19" i="27"/>
  <c r="BL19" i="27"/>
  <c r="EF19" i="27" s="1"/>
  <c r="EI19" i="27" s="1"/>
  <c r="BK19" i="27"/>
  <c r="EE19" i="27" s="1"/>
  <c r="EJ19" i="27" s="1"/>
  <c r="BJ19" i="27"/>
  <c r="ED19" i="27" s="1"/>
  <c r="EK19" i="27" s="1"/>
  <c r="BM18" i="27"/>
  <c r="EG18" i="27" s="1"/>
  <c r="EH18" i="27" s="1"/>
  <c r="BL18" i="27"/>
  <c r="Q18" i="27"/>
  <c r="BK18" i="27" s="1"/>
  <c r="BM17" i="27"/>
  <c r="BL17" i="27"/>
  <c r="BK17" i="27"/>
  <c r="EE17" i="27" s="1"/>
  <c r="EJ17" i="27" s="1"/>
  <c r="BJ17" i="27"/>
  <c r="ED17" i="27" s="1"/>
  <c r="EK17" i="27" s="1"/>
  <c r="BM16" i="27"/>
  <c r="BL16" i="27"/>
  <c r="Q16" i="27"/>
  <c r="BK16" i="27" s="1"/>
  <c r="EE16" i="27" s="1"/>
  <c r="EJ16" i="27" s="1"/>
  <c r="BM15" i="27"/>
  <c r="BL15" i="27"/>
  <c r="EF15" i="27" s="1"/>
  <c r="EI15" i="27" s="1"/>
  <c r="Q15" i="27"/>
  <c r="BM14" i="27"/>
  <c r="BL14" i="27"/>
  <c r="EF14" i="27" s="1"/>
  <c r="EI14" i="27" s="1"/>
  <c r="Q14" i="27"/>
  <c r="BM13" i="27"/>
  <c r="BL13" i="27"/>
  <c r="BK13" i="27"/>
  <c r="BJ13" i="27"/>
  <c r="BM12" i="27"/>
  <c r="BL12" i="27"/>
  <c r="BK12" i="27"/>
  <c r="EE12" i="27" s="1"/>
  <c r="EJ12" i="27" s="1"/>
  <c r="Q12" i="27"/>
  <c r="BM11" i="27"/>
  <c r="BL11" i="27"/>
  <c r="EF11" i="27" s="1"/>
  <c r="EI11" i="27" s="1"/>
  <c r="Q11" i="27"/>
  <c r="BM10" i="27"/>
  <c r="BL10" i="27"/>
  <c r="BK10" i="27"/>
  <c r="BJ10" i="27"/>
  <c r="ED10" i="27" s="1"/>
  <c r="EK10" i="27" s="1"/>
  <c r="BM9" i="27"/>
  <c r="BM59" i="27" s="1"/>
  <c r="BL9" i="27"/>
  <c r="EF9" i="27" s="1"/>
  <c r="EI9" i="27" s="1"/>
  <c r="Q9" i="27"/>
  <c r="BK9" i="27" s="1"/>
  <c r="BM8" i="27"/>
  <c r="EG8" i="27" s="1"/>
  <c r="EH8" i="27" s="1"/>
  <c r="BL8" i="27"/>
  <c r="BK8" i="27"/>
  <c r="EE8" i="27" s="1"/>
  <c r="EJ8" i="27" s="1"/>
  <c r="BJ8" i="27"/>
  <c r="ED8" i="27" s="1"/>
  <c r="EK8" i="27" s="1"/>
  <c r="BM6" i="27"/>
  <c r="EG6" i="27" s="1"/>
  <c r="EH6" i="27" s="1"/>
  <c r="BL6" i="27"/>
  <c r="Q6" i="27"/>
  <c r="BM5" i="27"/>
  <c r="EG5" i="27" s="1"/>
  <c r="EH5" i="27" s="1"/>
  <c r="BL5" i="27"/>
  <c r="Q5" i="27"/>
  <c r="BM50" i="27"/>
  <c r="BM113" i="27" s="1"/>
  <c r="BL50" i="27"/>
  <c r="BL113" i="27" s="1"/>
  <c r="Q50" i="27"/>
  <c r="BK50" i="27" s="1"/>
  <c r="BM42" i="27"/>
  <c r="EG42" i="27" s="1"/>
  <c r="EH42" i="27" s="1"/>
  <c r="BL42" i="27"/>
  <c r="Q42" i="27"/>
  <c r="BM30" i="27"/>
  <c r="EG30" i="27" s="1"/>
  <c r="EH30" i="27" s="1"/>
  <c r="BL30" i="27"/>
  <c r="EF30" i="27"/>
  <c r="EI30" i="27" s="1"/>
  <c r="BK30" i="27"/>
  <c r="BJ30" i="27"/>
  <c r="BM7" i="27"/>
  <c r="EG7" i="27" s="1"/>
  <c r="EH7" i="27" s="1"/>
  <c r="BL7" i="27"/>
  <c r="EF7" i="27" s="1"/>
  <c r="EI7" i="27" s="1"/>
  <c r="Q7" i="27"/>
  <c r="BK7" i="27" s="1"/>
  <c r="EE7" i="27" s="1"/>
  <c r="EJ7" i="27" s="1"/>
  <c r="M114" i="17"/>
  <c r="M115" i="17"/>
  <c r="BG113" i="17"/>
  <c r="AU113" i="17"/>
  <c r="AT113" i="17"/>
  <c r="AH113" i="17"/>
  <c r="AG113" i="17"/>
  <c r="AF113" i="17"/>
  <c r="V113" i="17"/>
  <c r="U113" i="17"/>
  <c r="T113" i="17"/>
  <c r="S113" i="17"/>
  <c r="R113" i="17"/>
  <c r="BF112" i="17"/>
  <c r="BE112" i="17"/>
  <c r="BD112" i="17"/>
  <c r="BC112" i="17"/>
  <c r="BB112" i="17"/>
  <c r="BA112" i="17"/>
  <c r="AZ112" i="17"/>
  <c r="AY112" i="17"/>
  <c r="AX112" i="17"/>
  <c r="AW112" i="17"/>
  <c r="AV112" i="17"/>
  <c r="AS112" i="17"/>
  <c r="AR112" i="17"/>
  <c r="AQ112" i="17"/>
  <c r="AP112" i="17"/>
  <c r="AO112" i="17"/>
  <c r="BH112" i="17"/>
  <c r="AN112" i="17"/>
  <c r="AM112" i="17"/>
  <c r="AL112" i="17"/>
  <c r="AK112" i="17"/>
  <c r="AJ112" i="17"/>
  <c r="AI112" i="17"/>
  <c r="AE112" i="17"/>
  <c r="AD112" i="17"/>
  <c r="AC112" i="17"/>
  <c r="AB112" i="17"/>
  <c r="AA112" i="17"/>
  <c r="Z112" i="17"/>
  <c r="Y112" i="17"/>
  <c r="X112" i="17"/>
  <c r="W112" i="17"/>
  <c r="Q112" i="17"/>
  <c r="P112" i="17"/>
  <c r="O112" i="17"/>
  <c r="N112" i="17"/>
  <c r="K50" i="19"/>
  <c r="J50" i="19"/>
  <c r="F50" i="28" s="1"/>
  <c r="AB50" i="28" s="1"/>
  <c r="AC50" i="28" s="1"/>
  <c r="AD50" i="28" s="1"/>
  <c r="BG148" i="17" s="1"/>
  <c r="F40" i="30"/>
  <c r="BH58" i="17"/>
  <c r="BF69" i="17"/>
  <c r="BE56" i="17"/>
  <c r="BB66" i="17"/>
  <c r="AX68" i="17"/>
  <c r="AV70" i="17"/>
  <c r="AM72" i="17"/>
  <c r="G41" i="30"/>
  <c r="H40" i="30"/>
  <c r="AK71" i="17"/>
  <c r="AJ59" i="17"/>
  <c r="AI65" i="17"/>
  <c r="AH72" i="17"/>
  <c r="AD67" i="17"/>
  <c r="AB71" i="17"/>
  <c r="AA71" i="17"/>
  <c r="Z39" i="17"/>
  <c r="X62" i="17"/>
  <c r="W63" i="17"/>
  <c r="T72" i="17"/>
  <c r="I41" i="30"/>
  <c r="S68" i="17"/>
  <c r="J40" i="30"/>
  <c r="R64" i="17"/>
  <c r="P39" i="17"/>
  <c r="O68" i="17"/>
  <c r="F53" i="30"/>
  <c r="F52" i="30"/>
  <c r="F51" i="30"/>
  <c r="F50" i="30"/>
  <c r="F49" i="30"/>
  <c r="F48" i="30"/>
  <c r="F47" i="30"/>
  <c r="F46" i="30"/>
  <c r="F45" i="30"/>
  <c r="F44" i="30"/>
  <c r="F43" i="30"/>
  <c r="F42" i="30"/>
  <c r="F41" i="30"/>
  <c r="R53" i="30"/>
  <c r="Q53" i="30"/>
  <c r="P53" i="30"/>
  <c r="O53" i="30"/>
  <c r="N53" i="30"/>
  <c r="M53" i="30"/>
  <c r="L53" i="30"/>
  <c r="K53" i="30"/>
  <c r="J53" i="30"/>
  <c r="I53" i="30"/>
  <c r="H53" i="30"/>
  <c r="G53" i="30"/>
  <c r="R52" i="30"/>
  <c r="Q52" i="30"/>
  <c r="P52" i="30"/>
  <c r="O52" i="30"/>
  <c r="N52" i="30"/>
  <c r="M52" i="30"/>
  <c r="L52" i="30"/>
  <c r="K52" i="30"/>
  <c r="J52" i="30"/>
  <c r="I52" i="30"/>
  <c r="H52" i="30"/>
  <c r="G52" i="30"/>
  <c r="R51" i="30"/>
  <c r="Q51" i="30"/>
  <c r="P51" i="30"/>
  <c r="O51" i="30"/>
  <c r="N51" i="30"/>
  <c r="M51" i="30"/>
  <c r="L51" i="30"/>
  <c r="K51" i="30"/>
  <c r="J51" i="30"/>
  <c r="I51" i="30"/>
  <c r="H51" i="30"/>
  <c r="G51" i="30"/>
  <c r="R50" i="30"/>
  <c r="Q50" i="30"/>
  <c r="P50" i="30"/>
  <c r="O50" i="30"/>
  <c r="N50" i="30"/>
  <c r="M50" i="30"/>
  <c r="L50" i="30"/>
  <c r="K50" i="30"/>
  <c r="J50" i="30"/>
  <c r="I50" i="30"/>
  <c r="H50" i="30"/>
  <c r="G50" i="30"/>
  <c r="R49" i="30"/>
  <c r="Q49" i="30"/>
  <c r="P49" i="30"/>
  <c r="O49" i="30"/>
  <c r="N49" i="30"/>
  <c r="M49" i="30"/>
  <c r="L49" i="30"/>
  <c r="K49" i="30"/>
  <c r="J49" i="30"/>
  <c r="I49" i="30"/>
  <c r="H49" i="30"/>
  <c r="G49" i="30"/>
  <c r="R48" i="30"/>
  <c r="Q48" i="30"/>
  <c r="P48" i="30"/>
  <c r="O48" i="30"/>
  <c r="N48" i="30"/>
  <c r="M48" i="30"/>
  <c r="L48" i="30"/>
  <c r="K48" i="30"/>
  <c r="J48" i="30"/>
  <c r="I48" i="30"/>
  <c r="H48" i="30"/>
  <c r="G48" i="30"/>
  <c r="R47" i="30"/>
  <c r="Q47" i="30"/>
  <c r="P47" i="30"/>
  <c r="O47" i="30"/>
  <c r="N47" i="30"/>
  <c r="M47" i="30"/>
  <c r="L47" i="30"/>
  <c r="K47" i="30"/>
  <c r="J47" i="30"/>
  <c r="I47" i="30"/>
  <c r="H47" i="30"/>
  <c r="G47" i="30"/>
  <c r="R46" i="30"/>
  <c r="Q46" i="30"/>
  <c r="P46" i="30"/>
  <c r="O46" i="30"/>
  <c r="N46" i="30"/>
  <c r="M46" i="30"/>
  <c r="L46" i="30"/>
  <c r="K46" i="30"/>
  <c r="J46" i="30"/>
  <c r="I46" i="30"/>
  <c r="H46" i="30"/>
  <c r="G46" i="30"/>
  <c r="R45" i="30"/>
  <c r="Q45" i="30"/>
  <c r="P45" i="30"/>
  <c r="O45" i="30"/>
  <c r="N45" i="30"/>
  <c r="M45" i="30"/>
  <c r="L45" i="30"/>
  <c r="K45" i="30"/>
  <c r="J45" i="30"/>
  <c r="I45" i="30"/>
  <c r="H45" i="30"/>
  <c r="G45" i="30"/>
  <c r="R44" i="30"/>
  <c r="Q44" i="30"/>
  <c r="P44" i="30"/>
  <c r="O44" i="30"/>
  <c r="N44" i="30"/>
  <c r="M44" i="30"/>
  <c r="L44" i="30"/>
  <c r="K44" i="30"/>
  <c r="J44" i="30"/>
  <c r="I44" i="30"/>
  <c r="H44" i="30"/>
  <c r="G44" i="30"/>
  <c r="R43" i="30"/>
  <c r="Q43" i="30"/>
  <c r="P43" i="30"/>
  <c r="O43" i="30"/>
  <c r="N43" i="30"/>
  <c r="M43" i="30"/>
  <c r="L43" i="30"/>
  <c r="K43" i="30"/>
  <c r="R42" i="30"/>
  <c r="Q42" i="30"/>
  <c r="P42" i="30"/>
  <c r="O42" i="30"/>
  <c r="N42" i="30"/>
  <c r="M42" i="30"/>
  <c r="L42" i="30"/>
  <c r="K42" i="30"/>
  <c r="R41" i="30"/>
  <c r="Q41" i="30"/>
  <c r="P41" i="30"/>
  <c r="O41" i="30"/>
  <c r="N41" i="30"/>
  <c r="M41" i="30"/>
  <c r="L41" i="30"/>
  <c r="K41" i="30"/>
  <c r="R40" i="30"/>
  <c r="Q40" i="30"/>
  <c r="P40" i="30"/>
  <c r="O40" i="30"/>
  <c r="N40" i="30"/>
  <c r="M40" i="30"/>
  <c r="L40" i="30"/>
  <c r="K40" i="30"/>
  <c r="J43" i="30"/>
  <c r="I43" i="30"/>
  <c r="J42" i="30"/>
  <c r="I42" i="30"/>
  <c r="H43" i="30"/>
  <c r="G43" i="30"/>
  <c r="H42" i="30"/>
  <c r="G42" i="30"/>
  <c r="H41" i="30"/>
  <c r="I40" i="30"/>
  <c r="J41" i="30"/>
  <c r="G40" i="30"/>
  <c r="J55" i="27"/>
  <c r="L54" i="27"/>
  <c r="L53" i="27"/>
  <c r="BG143" i="17"/>
  <c r="AQ143" i="17"/>
  <c r="AA143" i="17"/>
  <c r="AB143" i="17"/>
  <c r="BA143" i="17"/>
  <c r="AR143" i="17"/>
  <c r="BE143" i="17"/>
  <c r="BB143" i="17"/>
  <c r="AZ143" i="17"/>
  <c r="AO143" i="17"/>
  <c r="AW143" i="17"/>
  <c r="BD143" i="17"/>
  <c r="X143" i="17"/>
  <c r="BC143" i="17"/>
  <c r="AY143" i="17"/>
  <c r="U143" i="17"/>
  <c r="AT143" i="17"/>
  <c r="AH143" i="17"/>
  <c r="AE143" i="17"/>
  <c r="Y143" i="17"/>
  <c r="P143" i="17"/>
  <c r="AX143" i="17"/>
  <c r="BF143" i="17"/>
  <c r="AJ143" i="17"/>
  <c r="AK143" i="17"/>
  <c r="AI143" i="17"/>
  <c r="Z143" i="17"/>
  <c r="AV143" i="17"/>
  <c r="AS143" i="17"/>
  <c r="AD143" i="17"/>
  <c r="AF143" i="17"/>
  <c r="AC143" i="17"/>
  <c r="V143" i="17"/>
  <c r="AP143" i="17"/>
  <c r="O143" i="17"/>
  <c r="W143" i="17"/>
  <c r="AG143" i="17"/>
  <c r="AN143" i="17"/>
  <c r="BH143" i="17"/>
  <c r="N143" i="17"/>
  <c r="M143" i="17"/>
  <c r="Q143" i="17"/>
  <c r="AU143" i="17"/>
  <c r="T143" i="17"/>
  <c r="S143" i="17"/>
  <c r="R143" i="17"/>
  <c r="AL143" i="17"/>
  <c r="AM143" i="17"/>
  <c r="AM141" i="17"/>
  <c r="BJ123" i="17"/>
  <c r="BJ124" i="17" s="1"/>
  <c r="P51" i="28"/>
  <c r="Y51" i="28" s="1"/>
  <c r="O51" i="28"/>
  <c r="X51" i="28" s="1"/>
  <c r="N51" i="28"/>
  <c r="W51" i="28" s="1"/>
  <c r="M51" i="28"/>
  <c r="V51" i="28" s="1"/>
  <c r="P50" i="28"/>
  <c r="Y50" i="28" s="1"/>
  <c r="O50" i="28"/>
  <c r="X50" i="28" s="1"/>
  <c r="P49" i="28"/>
  <c r="Y49" i="28" s="1"/>
  <c r="O49" i="28"/>
  <c r="X49" i="28" s="1"/>
  <c r="N49" i="28"/>
  <c r="W49" i="28" s="1"/>
  <c r="M49" i="28"/>
  <c r="V49" i="28" s="1"/>
  <c r="P48" i="28"/>
  <c r="Y48" i="28" s="1"/>
  <c r="O48" i="28"/>
  <c r="X48" i="28" s="1"/>
  <c r="N48" i="28"/>
  <c r="W48" i="28" s="1"/>
  <c r="P47" i="28"/>
  <c r="Y47" i="28" s="1"/>
  <c r="O47" i="28"/>
  <c r="X47" i="28" s="1"/>
  <c r="N47" i="28"/>
  <c r="W47" i="28" s="1"/>
  <c r="P46" i="28"/>
  <c r="Y46" i="28" s="1"/>
  <c r="O46" i="28"/>
  <c r="X46" i="28" s="1"/>
  <c r="N46" i="28"/>
  <c r="W46" i="28" s="1"/>
  <c r="M46" i="28"/>
  <c r="V46" i="28" s="1"/>
  <c r="P45" i="28"/>
  <c r="Y45" i="28" s="1"/>
  <c r="O45" i="28"/>
  <c r="X45" i="28" s="1"/>
  <c r="N45" i="28"/>
  <c r="W45" i="28" s="1"/>
  <c r="M45" i="28"/>
  <c r="V45" i="28" s="1"/>
  <c r="P44" i="28"/>
  <c r="Y44" i="28" s="1"/>
  <c r="P43" i="28"/>
  <c r="Y43" i="28" s="1"/>
  <c r="O43" i="28"/>
  <c r="X43" i="28" s="1"/>
  <c r="P42" i="28"/>
  <c r="Y42" i="28" s="1"/>
  <c r="O42" i="28"/>
  <c r="X42" i="28" s="1"/>
  <c r="P41" i="28"/>
  <c r="Y41" i="28" s="1"/>
  <c r="O41" i="28"/>
  <c r="X41" i="28" s="1"/>
  <c r="N41" i="28"/>
  <c r="W41" i="28" s="1"/>
  <c r="P39" i="28"/>
  <c r="Y39" i="28" s="1"/>
  <c r="O39" i="28"/>
  <c r="X39" i="28" s="1"/>
  <c r="N39" i="28"/>
  <c r="W39" i="28" s="1"/>
  <c r="M39" i="28"/>
  <c r="V39" i="28" s="1"/>
  <c r="P38" i="28"/>
  <c r="Y38" i="28" s="1"/>
  <c r="O38" i="28"/>
  <c r="X38" i="28" s="1"/>
  <c r="N38" i="28"/>
  <c r="W38" i="28" s="1"/>
  <c r="M38" i="28"/>
  <c r="V38" i="28" s="1"/>
  <c r="P37" i="28"/>
  <c r="Y37" i="28" s="1"/>
  <c r="O37" i="28"/>
  <c r="X37" i="28" s="1"/>
  <c r="N37" i="28"/>
  <c r="W37" i="28" s="1"/>
  <c r="M37" i="28"/>
  <c r="V37" i="28" s="1"/>
  <c r="P36" i="28"/>
  <c r="Y36" i="28" s="1"/>
  <c r="O36" i="28"/>
  <c r="X36" i="28" s="1"/>
  <c r="N36" i="28"/>
  <c r="W36" i="28" s="1"/>
  <c r="M36" i="28"/>
  <c r="V36" i="28" s="1"/>
  <c r="P35" i="28"/>
  <c r="Y35" i="28" s="1"/>
  <c r="O35" i="28"/>
  <c r="X35" i="28" s="1"/>
  <c r="N35" i="28"/>
  <c r="W35" i="28" s="1"/>
  <c r="M35" i="28"/>
  <c r="V35" i="28" s="1"/>
  <c r="P34" i="28"/>
  <c r="Y34" i="28" s="1"/>
  <c r="O34" i="28"/>
  <c r="X34" i="28" s="1"/>
  <c r="P33" i="28"/>
  <c r="Y33" i="28" s="1"/>
  <c r="O33" i="28"/>
  <c r="X33" i="28" s="1"/>
  <c r="N33" i="28"/>
  <c r="W33" i="28" s="1"/>
  <c r="M33" i="28"/>
  <c r="V33" i="28" s="1"/>
  <c r="P32" i="28"/>
  <c r="Y32" i="28" s="1"/>
  <c r="O32" i="28"/>
  <c r="X32" i="28" s="1"/>
  <c r="N32" i="28"/>
  <c r="W32" i="28" s="1"/>
  <c r="P31" i="28"/>
  <c r="Y31" i="28" s="1"/>
  <c r="O31" i="28"/>
  <c r="X31" i="28" s="1"/>
  <c r="N31" i="28"/>
  <c r="W31" i="28" s="1"/>
  <c r="P30" i="28"/>
  <c r="Y30" i="28" s="1"/>
  <c r="O30" i="28"/>
  <c r="X30" i="28" s="1"/>
  <c r="N30" i="28"/>
  <c r="W30" i="28" s="1"/>
  <c r="M30" i="28"/>
  <c r="V30" i="28" s="1"/>
  <c r="P29" i="28"/>
  <c r="Y29" i="28" s="1"/>
  <c r="O29" i="28"/>
  <c r="X29" i="28" s="1"/>
  <c r="N29" i="28"/>
  <c r="W29" i="28" s="1"/>
  <c r="M29" i="28"/>
  <c r="V29" i="28" s="1"/>
  <c r="P28" i="28"/>
  <c r="Y28" i="28" s="1"/>
  <c r="O28" i="28"/>
  <c r="X28" i="28" s="1"/>
  <c r="N28" i="28"/>
  <c r="W28" i="28" s="1"/>
  <c r="M28" i="28"/>
  <c r="V28" i="28" s="1"/>
  <c r="P27" i="28"/>
  <c r="Y27" i="28" s="1"/>
  <c r="O27" i="28"/>
  <c r="X27" i="28" s="1"/>
  <c r="N27" i="28"/>
  <c r="W27" i="28" s="1"/>
  <c r="M27" i="28"/>
  <c r="V27" i="28" s="1"/>
  <c r="P26" i="28"/>
  <c r="Y26" i="28" s="1"/>
  <c r="O26" i="28"/>
  <c r="X26" i="28" s="1"/>
  <c r="N26" i="28"/>
  <c r="W26" i="28" s="1"/>
  <c r="M26" i="28"/>
  <c r="V26" i="28" s="1"/>
  <c r="P25" i="28"/>
  <c r="Y25" i="28" s="1"/>
  <c r="O25" i="28"/>
  <c r="X25" i="28" s="1"/>
  <c r="P24" i="28"/>
  <c r="Y24" i="28" s="1"/>
  <c r="O24" i="28"/>
  <c r="X24" i="28" s="1"/>
  <c r="P23" i="28"/>
  <c r="Y23" i="28" s="1"/>
  <c r="O23" i="28"/>
  <c r="X23" i="28" s="1"/>
  <c r="N23" i="28"/>
  <c r="W23" i="28" s="1"/>
  <c r="P22" i="28"/>
  <c r="Y22" i="28" s="1"/>
  <c r="O22" i="28"/>
  <c r="X22" i="28" s="1"/>
  <c r="P21" i="28"/>
  <c r="Y21" i="28" s="1"/>
  <c r="O21" i="28"/>
  <c r="X21" i="28" s="1"/>
  <c r="P20" i="28"/>
  <c r="Y20" i="28" s="1"/>
  <c r="O20" i="28"/>
  <c r="X20" i="28" s="1"/>
  <c r="P19" i="28"/>
  <c r="Y19" i="28" s="1"/>
  <c r="O19" i="28"/>
  <c r="X19" i="28" s="1"/>
  <c r="N19" i="28"/>
  <c r="W19" i="28" s="1"/>
  <c r="M19" i="28"/>
  <c r="V19" i="28" s="1"/>
  <c r="P18" i="28"/>
  <c r="Y18" i="28" s="1"/>
  <c r="O18" i="28"/>
  <c r="X18" i="28" s="1"/>
  <c r="P17" i="28"/>
  <c r="Y17" i="28" s="1"/>
  <c r="O17" i="28"/>
  <c r="X17" i="28" s="1"/>
  <c r="N17" i="28"/>
  <c r="W17" i="28" s="1"/>
  <c r="M17" i="28"/>
  <c r="V17" i="28" s="1"/>
  <c r="P16" i="28"/>
  <c r="Y16" i="28" s="1"/>
  <c r="O16" i="28"/>
  <c r="X16" i="28" s="1"/>
  <c r="P15" i="28"/>
  <c r="Y15" i="28" s="1"/>
  <c r="O15" i="28"/>
  <c r="X15" i="28" s="1"/>
  <c r="P14" i="28"/>
  <c r="Y14" i="28" s="1"/>
  <c r="O14" i="28"/>
  <c r="X14" i="28" s="1"/>
  <c r="P13" i="28"/>
  <c r="Y13" i="28" s="1"/>
  <c r="O13" i="28"/>
  <c r="X13" i="28" s="1"/>
  <c r="N13" i="28"/>
  <c r="W13" i="28" s="1"/>
  <c r="M13" i="28"/>
  <c r="V13" i="28" s="1"/>
  <c r="P12" i="28"/>
  <c r="Y12" i="28" s="1"/>
  <c r="O12" i="28"/>
  <c r="X12" i="28" s="1"/>
  <c r="N12" i="28"/>
  <c r="W12" i="28" s="1"/>
  <c r="P11" i="28"/>
  <c r="Y11" i="28" s="1"/>
  <c r="O11" i="28"/>
  <c r="X11" i="28" s="1"/>
  <c r="P10" i="28"/>
  <c r="Y10" i="28" s="1"/>
  <c r="O10" i="28"/>
  <c r="X10" i="28" s="1"/>
  <c r="N10" i="28"/>
  <c r="W10" i="28" s="1"/>
  <c r="M10" i="28"/>
  <c r="V10" i="28" s="1"/>
  <c r="P9" i="28"/>
  <c r="Y9" i="28" s="1"/>
  <c r="O9" i="28"/>
  <c r="X9" i="28" s="1"/>
  <c r="P8" i="28"/>
  <c r="Y8" i="28" s="1"/>
  <c r="O8" i="28"/>
  <c r="X8" i="28" s="1"/>
  <c r="N8" i="28"/>
  <c r="W8" i="28" s="1"/>
  <c r="M8" i="28"/>
  <c r="V8" i="28" s="1"/>
  <c r="P7" i="28"/>
  <c r="Y7" i="28" s="1"/>
  <c r="O7" i="28"/>
  <c r="X7" i="28" s="1"/>
  <c r="P6" i="28"/>
  <c r="Y6" i="28" s="1"/>
  <c r="O6" i="28"/>
  <c r="X6" i="28" s="1"/>
  <c r="P5" i="28"/>
  <c r="Y5" i="28" s="1"/>
  <c r="O5" i="28"/>
  <c r="X5" i="28" s="1"/>
  <c r="L51" i="28"/>
  <c r="K51" i="28"/>
  <c r="T51" i="28" s="1"/>
  <c r="J51" i="28"/>
  <c r="S51" i="28" s="1"/>
  <c r="I51" i="28"/>
  <c r="R51" i="28" s="1"/>
  <c r="P4" i="28"/>
  <c r="Y4" i="28" s="1"/>
  <c r="O4" i="28"/>
  <c r="X4" i="28" s="1"/>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P84" i="19"/>
  <c r="Q84" i="19"/>
  <c r="R84" i="19"/>
  <c r="P85" i="19"/>
  <c r="Q85" i="19"/>
  <c r="R85" i="19"/>
  <c r="P86" i="19"/>
  <c r="Q86" i="19"/>
  <c r="R86" i="19"/>
  <c r="P87" i="19"/>
  <c r="Q87" i="19"/>
  <c r="R87" i="19"/>
  <c r="P88" i="19"/>
  <c r="Q88" i="19"/>
  <c r="R88" i="19"/>
  <c r="P89" i="19"/>
  <c r="Q89" i="19"/>
  <c r="R89" i="19"/>
  <c r="P90" i="19"/>
  <c r="Q90" i="19"/>
  <c r="R90" i="19"/>
  <c r="P91" i="19"/>
  <c r="Q91" i="19"/>
  <c r="R91" i="19"/>
  <c r="P92" i="19"/>
  <c r="Q92" i="19"/>
  <c r="R92" i="19"/>
  <c r="P93" i="19"/>
  <c r="Q93" i="19"/>
  <c r="R93" i="19"/>
  <c r="P94" i="19"/>
  <c r="Q94" i="19"/>
  <c r="R94" i="19"/>
  <c r="P95" i="19"/>
  <c r="Q95" i="19"/>
  <c r="R95" i="19"/>
  <c r="P96" i="19"/>
  <c r="Q96" i="19"/>
  <c r="R96" i="19"/>
  <c r="P97" i="19"/>
  <c r="Q97" i="19"/>
  <c r="R97" i="19"/>
  <c r="P98" i="19"/>
  <c r="Q98" i="19"/>
  <c r="R98" i="19"/>
  <c r="P99" i="19"/>
  <c r="Q99" i="19"/>
  <c r="R99" i="19"/>
  <c r="P100" i="19"/>
  <c r="Q100" i="19"/>
  <c r="R100" i="19"/>
  <c r="P101" i="19"/>
  <c r="Q101" i="19"/>
  <c r="R101" i="19"/>
  <c r="P102" i="19"/>
  <c r="Q102" i="19"/>
  <c r="R102" i="19"/>
  <c r="P103" i="19"/>
  <c r="Q103" i="19"/>
  <c r="R103" i="19"/>
  <c r="P104" i="19"/>
  <c r="Q104" i="19"/>
  <c r="R104" i="19"/>
  <c r="P105" i="19"/>
  <c r="Q105" i="19"/>
  <c r="R105" i="19"/>
  <c r="P106" i="19"/>
  <c r="Q106" i="19"/>
  <c r="R106" i="19"/>
  <c r="P107" i="19"/>
  <c r="Q107" i="19"/>
  <c r="R107" i="19"/>
  <c r="P108" i="19"/>
  <c r="Q108" i="19"/>
  <c r="R108" i="19"/>
  <c r="P109" i="19"/>
  <c r="Q109" i="19"/>
  <c r="R109" i="19"/>
  <c r="P110" i="19"/>
  <c r="Q110" i="19"/>
  <c r="R110" i="19"/>
  <c r="P111" i="19"/>
  <c r="Q111" i="19"/>
  <c r="R111" i="19"/>
  <c r="P112" i="19"/>
  <c r="Q112" i="19"/>
  <c r="R112" i="19"/>
  <c r="P113" i="19"/>
  <c r="Q113" i="19"/>
  <c r="R113" i="19"/>
  <c r="P114" i="19"/>
  <c r="Q114" i="19"/>
  <c r="R114" i="19"/>
  <c r="P115" i="19"/>
  <c r="Q115" i="19"/>
  <c r="R115" i="19"/>
  <c r="P116" i="19"/>
  <c r="Q116" i="19"/>
  <c r="R116" i="19"/>
  <c r="P117" i="19"/>
  <c r="Q117" i="19"/>
  <c r="R117" i="19"/>
  <c r="P118" i="19"/>
  <c r="Q118" i="19"/>
  <c r="R118" i="19"/>
  <c r="P119" i="19"/>
  <c r="Q119" i="19"/>
  <c r="R119" i="19"/>
  <c r="P120" i="19"/>
  <c r="Q120" i="19"/>
  <c r="R120" i="19"/>
  <c r="P121" i="19"/>
  <c r="Q121" i="19"/>
  <c r="R121" i="19"/>
  <c r="P122" i="19"/>
  <c r="Q122" i="19"/>
  <c r="R122" i="19"/>
  <c r="P123" i="19"/>
  <c r="Q123" i="19"/>
  <c r="R123" i="19"/>
  <c r="P124" i="19"/>
  <c r="Q124" i="19"/>
  <c r="R124" i="19"/>
  <c r="P125" i="19"/>
  <c r="Q125" i="19"/>
  <c r="R125" i="19"/>
  <c r="P126" i="19"/>
  <c r="Q126" i="19"/>
  <c r="R126" i="19"/>
  <c r="P127" i="19"/>
  <c r="Q127" i="19"/>
  <c r="R127" i="19"/>
  <c r="P128" i="19"/>
  <c r="Q128" i="19"/>
  <c r="R128" i="19"/>
  <c r="P129" i="19"/>
  <c r="Q129" i="19"/>
  <c r="R129" i="19"/>
  <c r="P130" i="19"/>
  <c r="Q130" i="19"/>
  <c r="R130" i="19"/>
  <c r="P131" i="19"/>
  <c r="Q131" i="19"/>
  <c r="R131" i="19"/>
  <c r="P132" i="19"/>
  <c r="Q132" i="19"/>
  <c r="R132" i="19"/>
  <c r="P133" i="19"/>
  <c r="Q133" i="19"/>
  <c r="R133" i="19"/>
  <c r="P134" i="19"/>
  <c r="Q134" i="19"/>
  <c r="R134" i="19"/>
  <c r="P135" i="19"/>
  <c r="Q135" i="19"/>
  <c r="R135" i="19"/>
  <c r="P136" i="19"/>
  <c r="Q136" i="19"/>
  <c r="R136" i="19"/>
  <c r="P137" i="19"/>
  <c r="Q137" i="19"/>
  <c r="R137" i="19"/>
  <c r="P138" i="19"/>
  <c r="Q138" i="19"/>
  <c r="R138" i="19"/>
  <c r="P139" i="19"/>
  <c r="Q139" i="19"/>
  <c r="R139" i="19"/>
  <c r="P140" i="19"/>
  <c r="Q140" i="19"/>
  <c r="R140" i="19"/>
  <c r="P141" i="19"/>
  <c r="Q141" i="19"/>
  <c r="R141" i="19"/>
  <c r="P142" i="19"/>
  <c r="Q142" i="19"/>
  <c r="R142" i="19"/>
  <c r="Q83" i="19"/>
  <c r="R83" i="19"/>
  <c r="P83" i="19"/>
  <c r="N51" i="19"/>
  <c r="BH54" i="17" s="1"/>
  <c r="N50" i="19"/>
  <c r="BG53" i="17" s="1"/>
  <c r="N48" i="19"/>
  <c r="BE54" i="17" s="1"/>
  <c r="N47" i="19"/>
  <c r="N46" i="19"/>
  <c r="BC54" i="17" s="1"/>
  <c r="N45" i="19"/>
  <c r="N44" i="19"/>
  <c r="BA54" i="17" s="1"/>
  <c r="N43" i="19"/>
  <c r="AZ53" i="17" s="1"/>
  <c r="N42" i="19"/>
  <c r="AY54" i="17" s="1"/>
  <c r="N41" i="19"/>
  <c r="AX54" i="17" s="1"/>
  <c r="N39" i="19"/>
  <c r="AV54" i="17" s="1"/>
  <c r="N38" i="19"/>
  <c r="AU54" i="17" s="1"/>
  <c r="N37" i="19"/>
  <c r="AT54" i="17" s="1"/>
  <c r="N36" i="19"/>
  <c r="N35" i="19"/>
  <c r="AR53" i="17" s="1"/>
  <c r="N34" i="19"/>
  <c r="N33" i="19"/>
  <c r="AP54" i="17" s="1"/>
  <c r="N32" i="19"/>
  <c r="AO53" i="17" s="1"/>
  <c r="N31" i="19"/>
  <c r="AN54" i="17" s="1"/>
  <c r="N30" i="19"/>
  <c r="AM54" i="17" s="1"/>
  <c r="N29" i="19"/>
  <c r="AL54" i="17" s="1"/>
  <c r="N28" i="19"/>
  <c r="N27" i="19"/>
  <c r="N26" i="19"/>
  <c r="AI54" i="17" s="1"/>
  <c r="N25" i="19"/>
  <c r="N24" i="19"/>
  <c r="N23" i="19"/>
  <c r="AF53" i="17" s="1"/>
  <c r="N22" i="19"/>
  <c r="AE54" i="17" s="1"/>
  <c r="N21" i="19"/>
  <c r="N20" i="19"/>
  <c r="N19" i="19"/>
  <c r="AB53" i="17" s="1"/>
  <c r="N18" i="19"/>
  <c r="N17" i="19"/>
  <c r="Z54" i="17" s="1"/>
  <c r="N16" i="19"/>
  <c r="N15" i="19"/>
  <c r="X54" i="17" s="1"/>
  <c r="N14" i="19"/>
  <c r="W53" i="17" s="1"/>
  <c r="N13" i="19"/>
  <c r="V54" i="17" s="1"/>
  <c r="N12" i="19"/>
  <c r="U54" i="17" s="1"/>
  <c r="N11" i="19"/>
  <c r="T53" i="17" s="1"/>
  <c r="N10" i="19"/>
  <c r="N9" i="19"/>
  <c r="N8" i="19"/>
  <c r="Q53" i="17" s="1"/>
  <c r="N7" i="19"/>
  <c r="N6" i="19"/>
  <c r="N5" i="19"/>
  <c r="N53" i="17" s="1"/>
  <c r="N4" i="19"/>
  <c r="M4" i="19"/>
  <c r="M51" i="19"/>
  <c r="BH85" i="17" s="1"/>
  <c r="M50" i="19"/>
  <c r="BG86" i="17" s="1"/>
  <c r="M48" i="19"/>
  <c r="BE85" i="17" s="1"/>
  <c r="M47" i="19"/>
  <c r="BD85" i="17" s="1"/>
  <c r="M46" i="19"/>
  <c r="M45" i="19"/>
  <c r="BB86" i="17" s="1"/>
  <c r="M44" i="19"/>
  <c r="BA82" i="17" s="1"/>
  <c r="M43" i="19"/>
  <c r="AZ85" i="17" s="1"/>
  <c r="M42" i="19"/>
  <c r="AY85" i="17" s="1"/>
  <c r="M41" i="19"/>
  <c r="AX85" i="17" s="1"/>
  <c r="M39" i="19"/>
  <c r="AV83" i="17" s="1"/>
  <c r="M38" i="19"/>
  <c r="M37" i="19"/>
  <c r="AT83" i="17" s="1"/>
  <c r="M36" i="19"/>
  <c r="AS86" i="17" s="1"/>
  <c r="M35" i="19"/>
  <c r="M34" i="19"/>
  <c r="M33" i="19"/>
  <c r="AP86" i="17" s="1"/>
  <c r="M32" i="19"/>
  <c r="AO85" i="17" s="1"/>
  <c r="M31" i="19"/>
  <c r="M30" i="19"/>
  <c r="M29" i="19"/>
  <c r="AL82" i="17" s="1"/>
  <c r="M28" i="19"/>
  <c r="AK82" i="17" s="1"/>
  <c r="M27" i="19"/>
  <c r="AJ86" i="17" s="1"/>
  <c r="M26" i="19"/>
  <c r="AI86" i="17" s="1"/>
  <c r="M25" i="19"/>
  <c r="AH86" i="17" s="1"/>
  <c r="M24" i="19"/>
  <c r="AG82" i="17" s="1"/>
  <c r="M23" i="19"/>
  <c r="AF82" i="17" s="1"/>
  <c r="M22" i="19"/>
  <c r="M21" i="19"/>
  <c r="M20" i="19"/>
  <c r="M19" i="19"/>
  <c r="M18" i="19"/>
  <c r="AA85" i="17" s="1"/>
  <c r="M17" i="19"/>
  <c r="M16" i="19"/>
  <c r="Y83" i="17" s="1"/>
  <c r="M15" i="19"/>
  <c r="X85" i="17" s="1"/>
  <c r="M14" i="19"/>
  <c r="M13" i="19"/>
  <c r="V86" i="17" s="1"/>
  <c r="M12" i="19"/>
  <c r="U83" i="17" s="1"/>
  <c r="M11" i="19"/>
  <c r="T82" i="17" s="1"/>
  <c r="M10" i="19"/>
  <c r="M9" i="19"/>
  <c r="R83" i="17" s="1"/>
  <c r="M8" i="19"/>
  <c r="Q83" i="17" s="1"/>
  <c r="M7" i="19"/>
  <c r="P82" i="17" s="1"/>
  <c r="M6" i="19"/>
  <c r="M5" i="19"/>
  <c r="N83" i="17" s="1"/>
  <c r="L84" i="19"/>
  <c r="L85" i="19"/>
  <c r="L86" i="19"/>
  <c r="L87" i="19"/>
  <c r="L88" i="19"/>
  <c r="L89" i="19"/>
  <c r="L90" i="19"/>
  <c r="L91" i="19"/>
  <c r="L92" i="19"/>
  <c r="L93" i="19"/>
  <c r="L94" i="19"/>
  <c r="L95" i="19"/>
  <c r="L96" i="19"/>
  <c r="L97" i="19"/>
  <c r="L98" i="19"/>
  <c r="L99" i="19"/>
  <c r="L100" i="19"/>
  <c r="L101" i="19"/>
  <c r="L102" i="19"/>
  <c r="L103" i="19"/>
  <c r="L104" i="19"/>
  <c r="L105" i="19"/>
  <c r="L106" i="19"/>
  <c r="L107" i="19"/>
  <c r="L108" i="19"/>
  <c r="L109" i="19"/>
  <c r="L110" i="19"/>
  <c r="L111" i="19"/>
  <c r="L112" i="19"/>
  <c r="L113" i="19"/>
  <c r="L114" i="19"/>
  <c r="L115" i="19"/>
  <c r="L116" i="19"/>
  <c r="L117" i="19"/>
  <c r="L118" i="19"/>
  <c r="L119" i="19"/>
  <c r="L120" i="19"/>
  <c r="L121" i="19"/>
  <c r="L122" i="19"/>
  <c r="L123" i="19"/>
  <c r="L124" i="19"/>
  <c r="L125" i="19"/>
  <c r="L126" i="19"/>
  <c r="L127" i="19"/>
  <c r="L128" i="19"/>
  <c r="L129" i="19"/>
  <c r="L130" i="19"/>
  <c r="L131" i="19"/>
  <c r="L132" i="19"/>
  <c r="L133" i="19"/>
  <c r="L134" i="19"/>
  <c r="L135" i="19"/>
  <c r="L136" i="19"/>
  <c r="L137" i="19"/>
  <c r="L138" i="19"/>
  <c r="L139" i="19"/>
  <c r="L140" i="19"/>
  <c r="L141" i="19"/>
  <c r="L142" i="19"/>
  <c r="L83" i="19"/>
  <c r="M121" i="19"/>
  <c r="M122" i="19"/>
  <c r="M123" i="19"/>
  <c r="M124" i="19"/>
  <c r="N124" i="19" s="1"/>
  <c r="M125" i="19"/>
  <c r="M126" i="19"/>
  <c r="M127" i="19"/>
  <c r="M128" i="19"/>
  <c r="N128" i="19" s="1"/>
  <c r="M129" i="19"/>
  <c r="M130" i="19"/>
  <c r="M131" i="19"/>
  <c r="M132" i="19"/>
  <c r="M133" i="19"/>
  <c r="M134" i="19"/>
  <c r="M135" i="19"/>
  <c r="M136" i="19"/>
  <c r="M137" i="19"/>
  <c r="M138" i="19"/>
  <c r="N138" i="19" s="1"/>
  <c r="M139" i="19"/>
  <c r="N139" i="19" s="1"/>
  <c r="M140" i="19"/>
  <c r="M141" i="19"/>
  <c r="M142" i="19"/>
  <c r="N142" i="19" s="1"/>
  <c r="M84" i="19"/>
  <c r="M85" i="19"/>
  <c r="N85" i="19" s="1"/>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N115" i="19" s="1"/>
  <c r="M116" i="19"/>
  <c r="M117" i="19"/>
  <c r="N117" i="19" s="1"/>
  <c r="M118" i="19"/>
  <c r="M119" i="19"/>
  <c r="M120" i="19"/>
  <c r="M83" i="19"/>
  <c r="AW117" i="17"/>
  <c r="AW116" i="17"/>
  <c r="DJ51" i="27"/>
  <c r="BH123" i="17" s="1"/>
  <c r="DJ50" i="27"/>
  <c r="BG123" i="17" s="1"/>
  <c r="DJ49" i="27"/>
  <c r="BF123" i="17" s="1"/>
  <c r="DJ48" i="27"/>
  <c r="DJ45" i="27"/>
  <c r="BB123" i="17" s="1"/>
  <c r="DJ42" i="27"/>
  <c r="AY123" i="17" s="1"/>
  <c r="DJ40" i="27"/>
  <c r="AW123" i="17" s="1"/>
  <c r="DJ39" i="27"/>
  <c r="AV123" i="17" s="1"/>
  <c r="DJ38" i="27"/>
  <c r="AU123" i="17" s="1"/>
  <c r="DJ37" i="27"/>
  <c r="AT123" i="17" s="1"/>
  <c r="DJ36" i="27"/>
  <c r="AS123" i="17" s="1"/>
  <c r="DJ35" i="27"/>
  <c r="AR123" i="17"/>
  <c r="DJ33" i="27"/>
  <c r="AP123" i="17" s="1"/>
  <c r="DJ32" i="27"/>
  <c r="AO123" i="17" s="1"/>
  <c r="DJ30" i="27"/>
  <c r="AM123" i="17" s="1"/>
  <c r="DJ29" i="27"/>
  <c r="AL123" i="17" s="1"/>
  <c r="DJ28" i="27"/>
  <c r="AK123" i="17" s="1"/>
  <c r="DJ27" i="27"/>
  <c r="AJ123" i="17" s="1"/>
  <c r="DJ26" i="27"/>
  <c r="AI123" i="17" s="1"/>
  <c r="DJ24" i="27"/>
  <c r="AG123" i="17" s="1"/>
  <c r="DJ23" i="27"/>
  <c r="DJ22" i="27"/>
  <c r="AE123" i="17" s="1"/>
  <c r="DJ21" i="27"/>
  <c r="AD123" i="17" s="1"/>
  <c r="DJ20" i="27"/>
  <c r="AC123" i="17"/>
  <c r="DJ19" i="27"/>
  <c r="AB123" i="17" s="1"/>
  <c r="DJ18" i="27"/>
  <c r="AA123" i="17" s="1"/>
  <c r="DJ17" i="27"/>
  <c r="Z123" i="17" s="1"/>
  <c r="DJ16" i="27"/>
  <c r="DJ14" i="27"/>
  <c r="DJ13" i="27"/>
  <c r="V123" i="17" s="1"/>
  <c r="DJ12" i="27"/>
  <c r="U123" i="17" s="1"/>
  <c r="DJ10" i="27"/>
  <c r="S123" i="17" s="1"/>
  <c r="DJ9" i="27"/>
  <c r="R123" i="17" s="1"/>
  <c r="DJ8" i="27"/>
  <c r="Q123" i="17" s="1"/>
  <c r="DJ6" i="27"/>
  <c r="O123" i="17" s="1"/>
  <c r="DJ5" i="27"/>
  <c r="N123" i="17" s="1"/>
  <c r="DJ4" i="27"/>
  <c r="DI4" i="27"/>
  <c r="DI51" i="27"/>
  <c r="BH117" i="17" s="1"/>
  <c r="DI50" i="27"/>
  <c r="BG117" i="17" s="1"/>
  <c r="DI49" i="27"/>
  <c r="BF117" i="17" s="1"/>
  <c r="DI48" i="27"/>
  <c r="BE117" i="17" s="1"/>
  <c r="DI47" i="27"/>
  <c r="BD117" i="17" s="1"/>
  <c r="DI46" i="27"/>
  <c r="BC117" i="17" s="1"/>
  <c r="DI45" i="27"/>
  <c r="DI43" i="27"/>
  <c r="DI42" i="27"/>
  <c r="DI40" i="27"/>
  <c r="DI39" i="27"/>
  <c r="DI38" i="27"/>
  <c r="DI37" i="27"/>
  <c r="AT117" i="17" s="1"/>
  <c r="DI36" i="27"/>
  <c r="DI33" i="27"/>
  <c r="AP117" i="17" s="1"/>
  <c r="DI32" i="27"/>
  <c r="AO117" i="17" s="1"/>
  <c r="DI30" i="27"/>
  <c r="DI29" i="27"/>
  <c r="AL117" i="17"/>
  <c r="DI28" i="27"/>
  <c r="DI27" i="27"/>
  <c r="DI26" i="27"/>
  <c r="DI24" i="27"/>
  <c r="DI23" i="27"/>
  <c r="AF117" i="17" s="1"/>
  <c r="DI22" i="27"/>
  <c r="DI21" i="27"/>
  <c r="DI20" i="27"/>
  <c r="DI19" i="27"/>
  <c r="DI18" i="27"/>
  <c r="DI17" i="27"/>
  <c r="DI16" i="27"/>
  <c r="DI14" i="27"/>
  <c r="DI13" i="27"/>
  <c r="V117" i="17" s="1"/>
  <c r="DI12" i="27"/>
  <c r="DI10" i="27"/>
  <c r="S117" i="17" s="1"/>
  <c r="DI9" i="27"/>
  <c r="DI8" i="27"/>
  <c r="DI6" i="27"/>
  <c r="O117" i="17" s="1"/>
  <c r="DI5" i="27"/>
  <c r="K51" i="19"/>
  <c r="J51" i="19"/>
  <c r="F51" i="28" s="1"/>
  <c r="AB51" i="28" s="1"/>
  <c r="AC51" i="28" s="1"/>
  <c r="AD51" i="28" s="1"/>
  <c r="BH148" i="17" s="1"/>
  <c r="K49" i="19"/>
  <c r="J49" i="19"/>
  <c r="F49" i="28" s="1"/>
  <c r="AB49" i="28" s="1"/>
  <c r="AC49" i="28" s="1"/>
  <c r="AD49" i="28" s="1"/>
  <c r="BF148" i="17" s="1"/>
  <c r="K48" i="19"/>
  <c r="J48" i="19"/>
  <c r="F48" i="28" s="1"/>
  <c r="AB48" i="28" s="1"/>
  <c r="AC48" i="28" s="1"/>
  <c r="AD48" i="28" s="1"/>
  <c r="BE148" i="17" s="1"/>
  <c r="K47" i="19"/>
  <c r="J47" i="19"/>
  <c r="F47" i="28" s="1"/>
  <c r="AB47" i="28" s="1"/>
  <c r="AC47" i="28" s="1"/>
  <c r="AD47" i="28" s="1"/>
  <c r="BD148" i="17" s="1"/>
  <c r="K46" i="19"/>
  <c r="J46" i="19"/>
  <c r="F46" i="28" s="1"/>
  <c r="AB46" i="28" s="1"/>
  <c r="AC46" i="28" s="1"/>
  <c r="AD46" i="28" s="1"/>
  <c r="BC148" i="17" s="1"/>
  <c r="K45" i="19"/>
  <c r="J45" i="19"/>
  <c r="F45" i="28" s="1"/>
  <c r="AB45" i="28" s="1"/>
  <c r="AC45" i="28" s="1"/>
  <c r="AD45" i="28" s="1"/>
  <c r="BB148" i="17" s="1"/>
  <c r="K44" i="19"/>
  <c r="J44" i="19"/>
  <c r="F44" i="28" s="1"/>
  <c r="AB44" i="28" s="1"/>
  <c r="AC44" i="28" s="1"/>
  <c r="AD44" i="28" s="1"/>
  <c r="BA148" i="17" s="1"/>
  <c r="K43" i="19"/>
  <c r="J43" i="19"/>
  <c r="F43" i="28" s="1"/>
  <c r="AB43" i="28" s="1"/>
  <c r="AC43" i="28" s="1"/>
  <c r="AD43" i="28" s="1"/>
  <c r="AZ148" i="17" s="1"/>
  <c r="K42" i="19"/>
  <c r="J42" i="19"/>
  <c r="F42" i="28" s="1"/>
  <c r="AB42" i="28" s="1"/>
  <c r="AC42" i="28" s="1"/>
  <c r="AD42" i="28" s="1"/>
  <c r="AY148" i="17" s="1"/>
  <c r="K41" i="19"/>
  <c r="J41" i="19"/>
  <c r="F41" i="28" s="1"/>
  <c r="AB41" i="28" s="1"/>
  <c r="AC41" i="28" s="1"/>
  <c r="AD41" i="28" s="1"/>
  <c r="AX148" i="17" s="1"/>
  <c r="K40" i="19"/>
  <c r="J40" i="19"/>
  <c r="F40" i="28" s="1"/>
  <c r="AB40" i="28" s="1"/>
  <c r="AC40" i="28" s="1"/>
  <c r="AD40" i="28" s="1"/>
  <c r="AW148" i="17" s="1"/>
  <c r="K39" i="19"/>
  <c r="J39" i="19"/>
  <c r="F39" i="28" s="1"/>
  <c r="AB39" i="28" s="1"/>
  <c r="AC39" i="28" s="1"/>
  <c r="AD39" i="28" s="1"/>
  <c r="AV148" i="17" s="1"/>
  <c r="K38" i="19"/>
  <c r="J38" i="19"/>
  <c r="F38" i="28" s="1"/>
  <c r="AB38" i="28" s="1"/>
  <c r="AC38" i="28" s="1"/>
  <c r="AD38" i="28" s="1"/>
  <c r="AU148" i="17" s="1"/>
  <c r="K37" i="19"/>
  <c r="J37" i="19"/>
  <c r="F37" i="28" s="1"/>
  <c r="AB37" i="28" s="1"/>
  <c r="AC37" i="28" s="1"/>
  <c r="AD37" i="28" s="1"/>
  <c r="AT148" i="17" s="1"/>
  <c r="K36" i="19"/>
  <c r="J36" i="19"/>
  <c r="F36" i="28" s="1"/>
  <c r="AB36" i="28" s="1"/>
  <c r="AC36" i="28" s="1"/>
  <c r="AD36" i="28" s="1"/>
  <c r="AS148" i="17" s="1"/>
  <c r="K35" i="19"/>
  <c r="J35" i="19"/>
  <c r="F35" i="28" s="1"/>
  <c r="AB35" i="28" s="1"/>
  <c r="AC35" i="28" s="1"/>
  <c r="AD35" i="28" s="1"/>
  <c r="AR148" i="17" s="1"/>
  <c r="K34" i="19"/>
  <c r="J34" i="19"/>
  <c r="F34" i="28" s="1"/>
  <c r="AB34" i="28" s="1"/>
  <c r="AC34" i="28" s="1"/>
  <c r="AD34" i="28" s="1"/>
  <c r="AQ148" i="17" s="1"/>
  <c r="K33" i="19"/>
  <c r="J33" i="19"/>
  <c r="F33" i="28" s="1"/>
  <c r="AB33" i="28" s="1"/>
  <c r="AC33" i="28" s="1"/>
  <c r="AD33" i="28" s="1"/>
  <c r="AP148" i="17" s="1"/>
  <c r="K32" i="19"/>
  <c r="J32" i="19"/>
  <c r="F32" i="28" s="1"/>
  <c r="AB32" i="28" s="1"/>
  <c r="AC32" i="28" s="1"/>
  <c r="AD32" i="28" s="1"/>
  <c r="AO148" i="17" s="1"/>
  <c r="K31" i="19"/>
  <c r="J31" i="19"/>
  <c r="F31" i="28" s="1"/>
  <c r="AB31" i="28" s="1"/>
  <c r="AC31" i="28" s="1"/>
  <c r="AD31" i="28" s="1"/>
  <c r="AN148" i="17" s="1"/>
  <c r="K30" i="19"/>
  <c r="J30" i="19"/>
  <c r="F30" i="28" s="1"/>
  <c r="AB30" i="28" s="1"/>
  <c r="AC30" i="28" s="1"/>
  <c r="AD30" i="28" s="1"/>
  <c r="AM148" i="17" s="1"/>
  <c r="K29" i="19"/>
  <c r="J29" i="19"/>
  <c r="F29" i="28" s="1"/>
  <c r="AB29" i="28" s="1"/>
  <c r="AC29" i="28" s="1"/>
  <c r="AD29" i="28" s="1"/>
  <c r="AL148" i="17" s="1"/>
  <c r="K28" i="19"/>
  <c r="J28" i="19"/>
  <c r="F28" i="28" s="1"/>
  <c r="AB28" i="28" s="1"/>
  <c r="AC28" i="28" s="1"/>
  <c r="AD28" i="28" s="1"/>
  <c r="AK148" i="17" s="1"/>
  <c r="K27" i="19"/>
  <c r="J27" i="19"/>
  <c r="F27" i="28" s="1"/>
  <c r="AB27" i="28" s="1"/>
  <c r="AC27" i="28" s="1"/>
  <c r="AD27" i="28" s="1"/>
  <c r="AJ148" i="17" s="1"/>
  <c r="K26" i="19"/>
  <c r="J26" i="19"/>
  <c r="F26" i="28" s="1"/>
  <c r="AB26" i="28" s="1"/>
  <c r="AC26" i="28" s="1"/>
  <c r="AD26" i="28" s="1"/>
  <c r="AI148" i="17" s="1"/>
  <c r="K25" i="19"/>
  <c r="J25" i="19"/>
  <c r="F25" i="28" s="1"/>
  <c r="AB25" i="28" s="1"/>
  <c r="AC25" i="28" s="1"/>
  <c r="AD25" i="28" s="1"/>
  <c r="AH148" i="17" s="1"/>
  <c r="K24" i="19"/>
  <c r="J24" i="19"/>
  <c r="F24" i="28" s="1"/>
  <c r="AB24" i="28" s="1"/>
  <c r="AC24" i="28" s="1"/>
  <c r="AD24" i="28" s="1"/>
  <c r="AG148" i="17" s="1"/>
  <c r="K23" i="19"/>
  <c r="J23" i="19"/>
  <c r="F23" i="28" s="1"/>
  <c r="AB23" i="28" s="1"/>
  <c r="AC23" i="28" s="1"/>
  <c r="AD23" i="28" s="1"/>
  <c r="AF148" i="17" s="1"/>
  <c r="K22" i="19"/>
  <c r="J22" i="19"/>
  <c r="F22" i="28" s="1"/>
  <c r="AB22" i="28" s="1"/>
  <c r="AC22" i="28" s="1"/>
  <c r="AD22" i="28" s="1"/>
  <c r="AE148" i="17" s="1"/>
  <c r="K21" i="19"/>
  <c r="J21" i="19"/>
  <c r="F21" i="28" s="1"/>
  <c r="AB21" i="28" s="1"/>
  <c r="AC21" i="28" s="1"/>
  <c r="AD21" i="28" s="1"/>
  <c r="AD148" i="17" s="1"/>
  <c r="K20" i="19"/>
  <c r="J20" i="19"/>
  <c r="F20" i="28" s="1"/>
  <c r="AB20" i="28" s="1"/>
  <c r="AC20" i="28" s="1"/>
  <c r="AD20" i="28" s="1"/>
  <c r="AC148" i="17" s="1"/>
  <c r="K19" i="19"/>
  <c r="J19" i="19"/>
  <c r="F19" i="28" s="1"/>
  <c r="AB19" i="28" s="1"/>
  <c r="AC19" i="28" s="1"/>
  <c r="AD19" i="28" s="1"/>
  <c r="AB148" i="17" s="1"/>
  <c r="K18" i="19"/>
  <c r="J18" i="19"/>
  <c r="F18" i="28" s="1"/>
  <c r="AB18" i="28" s="1"/>
  <c r="AC18" i="28" s="1"/>
  <c r="AD18" i="28" s="1"/>
  <c r="AA148" i="17" s="1"/>
  <c r="K17" i="19"/>
  <c r="J17" i="19"/>
  <c r="F17" i="28" s="1"/>
  <c r="AB17" i="28" s="1"/>
  <c r="AC17" i="28" s="1"/>
  <c r="AD17" i="28" s="1"/>
  <c r="Z148" i="17" s="1"/>
  <c r="K16" i="19"/>
  <c r="J16" i="19"/>
  <c r="F16" i="28" s="1"/>
  <c r="AB16" i="28" s="1"/>
  <c r="AC16" i="28" s="1"/>
  <c r="AD16" i="28" s="1"/>
  <c r="Y148" i="17" s="1"/>
  <c r="K15" i="19"/>
  <c r="J15" i="19"/>
  <c r="F15" i="28" s="1"/>
  <c r="AB15" i="28" s="1"/>
  <c r="AC15" i="28" s="1"/>
  <c r="AD15" i="28" s="1"/>
  <c r="X148" i="17" s="1"/>
  <c r="K14" i="19"/>
  <c r="J14" i="19"/>
  <c r="F14" i="28" s="1"/>
  <c r="AB14" i="28" s="1"/>
  <c r="AC14" i="28" s="1"/>
  <c r="AD14" i="28" s="1"/>
  <c r="W148" i="17" s="1"/>
  <c r="K13" i="19"/>
  <c r="J13" i="19"/>
  <c r="F13" i="28" s="1"/>
  <c r="AB13" i="28" s="1"/>
  <c r="AC13" i="28" s="1"/>
  <c r="AD13" i="28" s="1"/>
  <c r="V148" i="17" s="1"/>
  <c r="K12" i="19"/>
  <c r="J12" i="19"/>
  <c r="F12" i="28" s="1"/>
  <c r="AB12" i="28" s="1"/>
  <c r="AC12" i="28" s="1"/>
  <c r="AD12" i="28" s="1"/>
  <c r="U148" i="17" s="1"/>
  <c r="K11" i="19"/>
  <c r="J11" i="19"/>
  <c r="F11" i="28" s="1"/>
  <c r="AB11" i="28" s="1"/>
  <c r="AC11" i="28" s="1"/>
  <c r="AD11" i="28" s="1"/>
  <c r="T148" i="17" s="1"/>
  <c r="K10" i="19"/>
  <c r="J10" i="19"/>
  <c r="F10" i="28" s="1"/>
  <c r="AB10" i="28" s="1"/>
  <c r="AC10" i="28" s="1"/>
  <c r="AD10" i="28" s="1"/>
  <c r="S148" i="17" s="1"/>
  <c r="K9" i="19"/>
  <c r="J9" i="19"/>
  <c r="F9" i="28" s="1"/>
  <c r="AB9" i="28" s="1"/>
  <c r="AC9" i="28" s="1"/>
  <c r="AD9" i="28" s="1"/>
  <c r="R148" i="17" s="1"/>
  <c r="K8" i="19"/>
  <c r="J8" i="19"/>
  <c r="F8" i="28" s="1"/>
  <c r="AB8" i="28" s="1"/>
  <c r="AC8" i="28" s="1"/>
  <c r="AD8" i="28" s="1"/>
  <c r="Q148" i="17" s="1"/>
  <c r="K7" i="19"/>
  <c r="J7" i="19"/>
  <c r="F7" i="28" s="1"/>
  <c r="AB7" i="28" s="1"/>
  <c r="AC7" i="28" s="1"/>
  <c r="AD7" i="28" s="1"/>
  <c r="P148" i="17" s="1"/>
  <c r="K6" i="19"/>
  <c r="J6" i="19"/>
  <c r="F6" i="28" s="1"/>
  <c r="AB6" i="28" s="1"/>
  <c r="AC6" i="28" s="1"/>
  <c r="AD6" i="28" s="1"/>
  <c r="O148" i="17" s="1"/>
  <c r="K5" i="19"/>
  <c r="J5" i="19"/>
  <c r="F5" i="28" s="1"/>
  <c r="AB5" i="28" s="1"/>
  <c r="AC5" i="28" s="1"/>
  <c r="AD5" i="28" s="1"/>
  <c r="N148" i="17" s="1"/>
  <c r="K4" i="19"/>
  <c r="J4" i="19"/>
  <c r="F4" i="28" s="1"/>
  <c r="AB4" i="28" s="1"/>
  <c r="AC4" i="28" s="1"/>
  <c r="AD4" i="28" s="1"/>
  <c r="M148" i="17" s="1"/>
  <c r="AM38" i="27"/>
  <c r="AM33" i="27"/>
  <c r="AM31" i="27"/>
  <c r="AM30" i="27"/>
  <c r="AM29" i="27"/>
  <c r="AM27" i="27"/>
  <c r="AM26" i="27"/>
  <c r="AM24" i="27"/>
  <c r="AM14" i="27"/>
  <c r="AM11" i="27"/>
  <c r="AM10" i="27"/>
  <c r="AM9" i="27"/>
  <c r="AM8" i="27"/>
  <c r="AM6" i="27"/>
  <c r="BK115" i="27"/>
  <c r="BM97" i="27"/>
  <c r="BL95" i="27"/>
  <c r="BK95" i="27"/>
  <c r="U124" i="19"/>
  <c r="W124" i="19"/>
  <c r="BK89" i="27"/>
  <c r="BM86" i="27"/>
  <c r="BJ86" i="27"/>
  <c r="AM18" i="17"/>
  <c r="X124" i="19"/>
  <c r="V124" i="19"/>
  <c r="Y124" i="19" s="1"/>
  <c r="DF51" i="27"/>
  <c r="DC51" i="27"/>
  <c r="DA51" i="27"/>
  <c r="CY51" i="27"/>
  <c r="DG50" i="27"/>
  <c r="DD50" i="27"/>
  <c r="DB50" i="27"/>
  <c r="CZ50" i="27"/>
  <c r="DF49" i="27"/>
  <c r="DC49" i="27"/>
  <c r="DA49" i="27"/>
  <c r="CY49" i="27"/>
  <c r="DF48" i="27"/>
  <c r="DC48" i="27"/>
  <c r="DA48" i="27"/>
  <c r="CY48" i="27"/>
  <c r="DF47" i="27"/>
  <c r="DC47" i="27"/>
  <c r="DA47" i="27"/>
  <c r="CY47" i="27"/>
  <c r="DF46" i="27"/>
  <c r="DC46" i="27"/>
  <c r="DA46" i="27"/>
  <c r="CY46" i="27"/>
  <c r="DF45" i="27"/>
  <c r="DC45" i="27"/>
  <c r="DA45" i="27"/>
  <c r="CY45" i="27"/>
  <c r="DF44" i="27"/>
  <c r="DC44" i="27"/>
  <c r="DA44" i="27"/>
  <c r="CY44" i="27"/>
  <c r="DF43" i="27"/>
  <c r="DC43" i="27"/>
  <c r="DA43" i="27"/>
  <c r="CY43" i="27"/>
  <c r="DF42" i="27"/>
  <c r="DC42" i="27"/>
  <c r="DA42" i="27"/>
  <c r="CY42" i="27"/>
  <c r="DF41" i="27"/>
  <c r="DC41" i="27"/>
  <c r="DA41" i="27"/>
  <c r="CY41" i="27"/>
  <c r="DF40" i="27"/>
  <c r="DC40" i="27"/>
  <c r="DA40" i="27"/>
  <c r="CY40" i="27"/>
  <c r="DF39" i="27"/>
  <c r="DC39" i="27"/>
  <c r="DA39" i="27"/>
  <c r="CY39" i="27"/>
  <c r="DG38" i="27"/>
  <c r="DD38" i="27"/>
  <c r="DB38" i="27"/>
  <c r="CZ38" i="27"/>
  <c r="DG37" i="27"/>
  <c r="DD37" i="27"/>
  <c r="DB37" i="27"/>
  <c r="CZ37" i="27"/>
  <c r="DF36" i="27"/>
  <c r="DC36" i="27"/>
  <c r="DA36" i="27"/>
  <c r="CY36" i="27"/>
  <c r="DF35" i="27"/>
  <c r="DC35" i="27"/>
  <c r="DA35" i="27"/>
  <c r="CY35" i="27"/>
  <c r="DF34" i="27"/>
  <c r="DC34" i="27"/>
  <c r="DA34" i="27"/>
  <c r="CY34" i="27"/>
  <c r="DF33" i="27"/>
  <c r="DC33" i="27"/>
  <c r="DA33" i="27"/>
  <c r="CY33" i="27"/>
  <c r="DF32" i="27"/>
  <c r="DC32" i="27"/>
  <c r="DA32" i="27"/>
  <c r="CY32" i="27"/>
  <c r="DF31" i="27"/>
  <c r="DC31" i="27"/>
  <c r="DA31" i="27"/>
  <c r="CY31" i="27"/>
  <c r="DF30" i="27"/>
  <c r="DC30" i="27"/>
  <c r="DA30" i="27"/>
  <c r="CY30" i="27"/>
  <c r="DF29" i="27"/>
  <c r="DC29" i="27"/>
  <c r="DA29" i="27"/>
  <c r="CY29" i="27"/>
  <c r="DF28" i="27"/>
  <c r="DC28" i="27"/>
  <c r="DA28" i="27"/>
  <c r="CY28" i="27"/>
  <c r="DF27" i="27"/>
  <c r="DC27" i="27"/>
  <c r="DA27" i="27"/>
  <c r="CY27" i="27"/>
  <c r="DF26" i="27"/>
  <c r="DC26" i="27"/>
  <c r="DA26" i="27"/>
  <c r="CY26" i="27"/>
  <c r="DG25" i="27"/>
  <c r="DD25" i="27"/>
  <c r="DB25" i="27"/>
  <c r="CZ25" i="27"/>
  <c r="DG24" i="27"/>
  <c r="DD24" i="27"/>
  <c r="DB24" i="27"/>
  <c r="CZ24" i="27"/>
  <c r="DG23" i="27"/>
  <c r="DD23" i="27"/>
  <c r="DB23" i="27"/>
  <c r="CZ23" i="27"/>
  <c r="DF22" i="27"/>
  <c r="DC22" i="27"/>
  <c r="DA22" i="27"/>
  <c r="CY22" i="27"/>
  <c r="DF21" i="27"/>
  <c r="DC21" i="27"/>
  <c r="DA21" i="27"/>
  <c r="CY21" i="27"/>
  <c r="DF20" i="27"/>
  <c r="DC20" i="27"/>
  <c r="DA20" i="27"/>
  <c r="CY20" i="27"/>
  <c r="DF19" i="27"/>
  <c r="DC19" i="27"/>
  <c r="DA19" i="27"/>
  <c r="CY19" i="27"/>
  <c r="DF18" i="27"/>
  <c r="DC18" i="27"/>
  <c r="DA18" i="27"/>
  <c r="CY18" i="27"/>
  <c r="DF17" i="27"/>
  <c r="DC17" i="27"/>
  <c r="DA17" i="27"/>
  <c r="CY17" i="27"/>
  <c r="DF16" i="27"/>
  <c r="DC16" i="27"/>
  <c r="DA16" i="27"/>
  <c r="CY16" i="27"/>
  <c r="DF15" i="27"/>
  <c r="DC15" i="27"/>
  <c r="DA15" i="27"/>
  <c r="CY15" i="27"/>
  <c r="DF14" i="27"/>
  <c r="DC14" i="27"/>
  <c r="DA14" i="27"/>
  <c r="CY14" i="27"/>
  <c r="DG13" i="27"/>
  <c r="DD13" i="27"/>
  <c r="DB13" i="27"/>
  <c r="CZ13" i="27"/>
  <c r="DG12" i="27"/>
  <c r="DD12" i="27"/>
  <c r="DB12" i="27"/>
  <c r="CZ12" i="27"/>
  <c r="DG11" i="27"/>
  <c r="DD11" i="27"/>
  <c r="DB11" i="27"/>
  <c r="CZ11" i="27"/>
  <c r="DG10" i="27"/>
  <c r="DD10" i="27"/>
  <c r="DB10" i="27"/>
  <c r="CZ10" i="27"/>
  <c r="DG9" i="27"/>
  <c r="DD9" i="27"/>
  <c r="DB9" i="27"/>
  <c r="CZ9" i="27"/>
  <c r="DF8" i="27"/>
  <c r="DC8" i="27"/>
  <c r="DA8" i="27"/>
  <c r="CY8" i="27"/>
  <c r="DF7" i="27"/>
  <c r="DC7" i="27"/>
  <c r="DA7" i="27"/>
  <c r="CY7" i="27"/>
  <c r="DF6" i="27"/>
  <c r="DC6" i="27"/>
  <c r="DA6" i="27"/>
  <c r="CY6" i="27"/>
  <c r="DF5" i="27"/>
  <c r="DC5" i="27"/>
  <c r="DA5" i="27"/>
  <c r="CY5" i="27"/>
  <c r="DC4" i="27"/>
  <c r="DF4" i="27"/>
  <c r="DA4" i="27"/>
  <c r="CY4" i="27"/>
  <c r="B1" i="27"/>
  <c r="C1" i="27" s="1"/>
  <c r="D1" i="27" s="1"/>
  <c r="E1" i="27" s="1"/>
  <c r="F1" i="27"/>
  <c r="G1" i="27" s="1"/>
  <c r="H1" i="27" s="1"/>
  <c r="I1" i="27" s="1"/>
  <c r="J1" i="27" s="1"/>
  <c r="K1" i="27" s="1"/>
  <c r="L1" i="27" s="1"/>
  <c r="M1" i="27" s="1"/>
  <c r="N1" i="27" s="1"/>
  <c r="O1" i="27" s="1"/>
  <c r="P1" i="27" s="1"/>
  <c r="Q1" i="27" s="1"/>
  <c r="R1" i="27" s="1"/>
  <c r="S1" i="27" s="1"/>
  <c r="T1" i="27" s="1"/>
  <c r="U1" i="27" s="1"/>
  <c r="V1" i="27" s="1"/>
  <c r="W1" i="27" s="1"/>
  <c r="X1" i="27" s="1"/>
  <c r="Y1" i="27" s="1"/>
  <c r="Z1" i="27" s="1"/>
  <c r="AA1" i="27" s="1"/>
  <c r="AB1" i="27" s="1"/>
  <c r="AC1" i="27" s="1"/>
  <c r="AD1" i="27" s="1"/>
  <c r="AE1" i="27" s="1"/>
  <c r="AF1" i="27" s="1"/>
  <c r="AG1" i="27" s="1"/>
  <c r="AH1" i="27" s="1"/>
  <c r="AI1" i="27" s="1"/>
  <c r="AJ1" i="27" s="1"/>
  <c r="AK1" i="27" s="1"/>
  <c r="AL1" i="27" s="1"/>
  <c r="AM1" i="27" s="1"/>
  <c r="AN1" i="27" s="1"/>
  <c r="AO1" i="27" s="1"/>
  <c r="AP1" i="27" s="1"/>
  <c r="AQ1" i="27" s="1"/>
  <c r="AR1" i="27" s="1"/>
  <c r="AS1" i="27" s="1"/>
  <c r="AT1" i="27" s="1"/>
  <c r="AU1" i="27" s="1"/>
  <c r="AV1" i="27" s="1"/>
  <c r="AW1" i="27" s="1"/>
  <c r="AX1" i="27" s="1"/>
  <c r="AY1" i="27" s="1"/>
  <c r="AZ1" i="27" s="1"/>
  <c r="BA1" i="27" s="1"/>
  <c r="BB1" i="27" s="1"/>
  <c r="BC1" i="27" s="1"/>
  <c r="BD1" i="27" s="1"/>
  <c r="BE1" i="27" s="1"/>
  <c r="BF1" i="27" s="1"/>
  <c r="BG1" i="27" s="1"/>
  <c r="BH1" i="27" s="1"/>
  <c r="BI1" i="27" s="1"/>
  <c r="BJ1" i="27" s="1"/>
  <c r="BK1" i="27" s="1"/>
  <c r="BL1" i="27" s="1"/>
  <c r="BM1" i="27" s="1"/>
  <c r="BN1" i="27" s="1"/>
  <c r="BO1" i="27" s="1"/>
  <c r="BP1" i="27" s="1"/>
  <c r="BQ1" i="27" s="1"/>
  <c r="BR1" i="27" s="1"/>
  <c r="BS1" i="27" s="1"/>
  <c r="BT1" i="27" s="1"/>
  <c r="BU1" i="27" s="1"/>
  <c r="BV1" i="27" s="1"/>
  <c r="BW1" i="27" s="1"/>
  <c r="BX1" i="27" s="1"/>
  <c r="BY1" i="27" s="1"/>
  <c r="BZ1" i="27" s="1"/>
  <c r="CA1" i="27" s="1"/>
  <c r="CB1" i="27" s="1"/>
  <c r="CC1" i="27" s="1"/>
  <c r="CD1" i="27" s="1"/>
  <c r="CE1" i="27" s="1"/>
  <c r="CF1" i="27" s="1"/>
  <c r="CG1" i="27" s="1"/>
  <c r="CH1" i="27" s="1"/>
  <c r="CI1" i="27" s="1"/>
  <c r="CJ1" i="27" s="1"/>
  <c r="CK1" i="27" s="1"/>
  <c r="CL1" i="27" s="1"/>
  <c r="CM1" i="27" s="1"/>
  <c r="CN1" i="27" s="1"/>
  <c r="CO1" i="27" s="1"/>
  <c r="CP1" i="27" s="1"/>
  <c r="CQ1" i="27" s="1"/>
  <c r="CR1" i="27" s="1"/>
  <c r="CS1" i="27" s="1"/>
  <c r="CT1" i="27" s="1"/>
  <c r="CU1" i="27" s="1"/>
  <c r="CV1" i="27" s="1"/>
  <c r="CW1" i="27" s="1"/>
  <c r="CX1" i="27" s="1"/>
  <c r="CY1" i="27" s="1"/>
  <c r="CZ1" i="27" s="1"/>
  <c r="DA1" i="27" s="1"/>
  <c r="DB1" i="27" s="1"/>
  <c r="DC1" i="27" s="1"/>
  <c r="DD1" i="27" s="1"/>
  <c r="DE1" i="27" s="1"/>
  <c r="DF1" i="27" s="1"/>
  <c r="DG1" i="27" s="1"/>
  <c r="DH1" i="27" s="1"/>
  <c r="DI1" i="27" s="1"/>
  <c r="DJ1" i="27" s="1"/>
  <c r="DK1" i="27" s="1"/>
  <c r="DL1" i="27" s="1"/>
  <c r="DM1" i="27" s="1"/>
  <c r="D51" i="27"/>
  <c r="C51" i="27"/>
  <c r="B51" i="27"/>
  <c r="Q46" i="19"/>
  <c r="BC9" i="17" s="1"/>
  <c r="Q38" i="19"/>
  <c r="Q7" i="19"/>
  <c r="P9" i="17" s="1"/>
  <c r="Q35" i="19"/>
  <c r="AR9" i="17" s="1"/>
  <c r="Q51" i="19"/>
  <c r="BH9" i="17" s="1"/>
  <c r="BG29" i="17"/>
  <c r="AQ29" i="17"/>
  <c r="AA29" i="17"/>
  <c r="AB29" i="17"/>
  <c r="BA29" i="17"/>
  <c r="AR29" i="17"/>
  <c r="BE29" i="17"/>
  <c r="BB29" i="17"/>
  <c r="AZ29" i="17"/>
  <c r="AO29" i="17"/>
  <c r="AW29" i="17"/>
  <c r="BD29" i="17"/>
  <c r="X29" i="17"/>
  <c r="BC29" i="17"/>
  <c r="AY29" i="17"/>
  <c r="U29" i="17"/>
  <c r="AT29" i="17"/>
  <c r="AH29" i="17"/>
  <c r="AE29" i="17"/>
  <c r="Y29" i="17"/>
  <c r="P29" i="17"/>
  <c r="AX29" i="17"/>
  <c r="BF29" i="17"/>
  <c r="AJ29" i="17"/>
  <c r="AK29" i="17"/>
  <c r="AI29" i="17"/>
  <c r="Z29" i="17"/>
  <c r="AV29" i="17"/>
  <c r="AS29" i="17"/>
  <c r="AD29" i="17"/>
  <c r="AF29" i="17"/>
  <c r="AC29" i="17"/>
  <c r="V29" i="17"/>
  <c r="AP29" i="17"/>
  <c r="O29" i="17"/>
  <c r="W29" i="17"/>
  <c r="AG29" i="17"/>
  <c r="AN29" i="17"/>
  <c r="N29" i="17"/>
  <c r="M29" i="17"/>
  <c r="Q29" i="17"/>
  <c r="AU29" i="17"/>
  <c r="T29" i="17"/>
  <c r="S29" i="17"/>
  <c r="R29" i="17"/>
  <c r="AL29" i="17"/>
  <c r="AM29" i="17"/>
  <c r="V3" i="29"/>
  <c r="S3" i="29"/>
  <c r="Q3" i="29"/>
  <c r="V2" i="29"/>
  <c r="Q2" i="29"/>
  <c r="D4" i="28"/>
  <c r="C4" i="28"/>
  <c r="B4" i="28"/>
  <c r="D51" i="28"/>
  <c r="C51" i="28"/>
  <c r="B51" i="28"/>
  <c r="D50" i="28"/>
  <c r="C50" i="28"/>
  <c r="B50" i="28"/>
  <c r="D49" i="28"/>
  <c r="C49" i="28"/>
  <c r="B49" i="28"/>
  <c r="D48" i="28"/>
  <c r="C48" i="28"/>
  <c r="B48" i="28"/>
  <c r="D47" i="28"/>
  <c r="C47" i="28"/>
  <c r="B47" i="28"/>
  <c r="D46" i="28"/>
  <c r="C46" i="28"/>
  <c r="B46" i="28"/>
  <c r="D45" i="28"/>
  <c r="C45" i="28"/>
  <c r="B45" i="28"/>
  <c r="D44" i="28"/>
  <c r="C44" i="28"/>
  <c r="B44" i="28"/>
  <c r="D43" i="28"/>
  <c r="C43" i="28"/>
  <c r="B43" i="28"/>
  <c r="D42" i="28"/>
  <c r="C42" i="28"/>
  <c r="B42" i="28"/>
  <c r="D41" i="28"/>
  <c r="C41" i="28"/>
  <c r="B41" i="28"/>
  <c r="D40" i="28"/>
  <c r="C40" i="28"/>
  <c r="B40" i="28"/>
  <c r="D39" i="28"/>
  <c r="C39" i="28"/>
  <c r="B39" i="28"/>
  <c r="D38" i="28"/>
  <c r="C38" i="28"/>
  <c r="B38" i="28"/>
  <c r="D37" i="28"/>
  <c r="C37" i="28"/>
  <c r="B37" i="28"/>
  <c r="D36" i="28"/>
  <c r="C36" i="28"/>
  <c r="B36" i="28"/>
  <c r="D35" i="28"/>
  <c r="C35" i="28"/>
  <c r="B35" i="28"/>
  <c r="D34" i="28"/>
  <c r="C34" i="28"/>
  <c r="B34" i="28"/>
  <c r="D33" i="28"/>
  <c r="C33" i="28"/>
  <c r="B33" i="28"/>
  <c r="D32" i="28"/>
  <c r="C32" i="28"/>
  <c r="B32" i="28"/>
  <c r="D31" i="28"/>
  <c r="C31" i="28"/>
  <c r="B31" i="28"/>
  <c r="D30" i="28"/>
  <c r="C30" i="28"/>
  <c r="B30" i="28"/>
  <c r="D29" i="28"/>
  <c r="C29" i="28"/>
  <c r="B29" i="28"/>
  <c r="D28" i="28"/>
  <c r="C28" i="28"/>
  <c r="B28" i="28"/>
  <c r="D27" i="28"/>
  <c r="C27" i="28"/>
  <c r="B27" i="28"/>
  <c r="D26" i="28"/>
  <c r="C26" i="28"/>
  <c r="B26" i="28"/>
  <c r="D25" i="28"/>
  <c r="C25" i="28"/>
  <c r="B25" i="28"/>
  <c r="D24" i="28"/>
  <c r="C24" i="28"/>
  <c r="B24" i="28"/>
  <c r="D23" i="28"/>
  <c r="C23" i="28"/>
  <c r="B23" i="28"/>
  <c r="D22" i="28"/>
  <c r="C22" i="28"/>
  <c r="B22" i="28"/>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D9" i="28"/>
  <c r="C9" i="28"/>
  <c r="B9" i="28"/>
  <c r="D8" i="28"/>
  <c r="C8" i="28"/>
  <c r="B8" i="28"/>
  <c r="D7" i="28"/>
  <c r="C7" i="28"/>
  <c r="B7" i="28"/>
  <c r="D6" i="28"/>
  <c r="C6" i="28"/>
  <c r="B6" i="28"/>
  <c r="D5" i="28"/>
  <c r="C5" i="28"/>
  <c r="B5" i="28"/>
  <c r="BG115" i="17"/>
  <c r="AQ115" i="17"/>
  <c r="AA115" i="17"/>
  <c r="AB115" i="17"/>
  <c r="BA115" i="17"/>
  <c r="AR115" i="17"/>
  <c r="BE115" i="17"/>
  <c r="BB115" i="17"/>
  <c r="AZ115" i="17"/>
  <c r="AO115" i="17"/>
  <c r="AW115" i="17"/>
  <c r="BD115" i="17"/>
  <c r="X115" i="17"/>
  <c r="BC115" i="17"/>
  <c r="AY115" i="17"/>
  <c r="U115" i="17"/>
  <c r="AT115" i="17"/>
  <c r="AH115" i="17"/>
  <c r="AE115" i="17"/>
  <c r="Y115" i="17"/>
  <c r="P115" i="17"/>
  <c r="AX115" i="17"/>
  <c r="BF115" i="17"/>
  <c r="AJ115" i="17"/>
  <c r="AK115" i="17"/>
  <c r="AI115" i="17"/>
  <c r="Z115" i="17"/>
  <c r="AV115" i="17"/>
  <c r="AS115" i="17"/>
  <c r="AD115" i="17"/>
  <c r="AF115" i="17"/>
  <c r="AC115" i="17"/>
  <c r="V115" i="17"/>
  <c r="AP115" i="17"/>
  <c r="O115" i="17"/>
  <c r="W115" i="17"/>
  <c r="AG115" i="17"/>
  <c r="AN115" i="17"/>
  <c r="BH115" i="17"/>
  <c r="N115" i="17"/>
  <c r="Q115" i="17"/>
  <c r="AU115" i="17"/>
  <c r="T115" i="17"/>
  <c r="S115" i="17"/>
  <c r="R115" i="17"/>
  <c r="AL115" i="17"/>
  <c r="BG114" i="17"/>
  <c r="AQ114" i="17"/>
  <c r="AA114" i="17"/>
  <c r="AB114" i="17"/>
  <c r="BA114" i="17"/>
  <c r="AR114" i="17"/>
  <c r="BE114" i="17"/>
  <c r="BB114" i="17"/>
  <c r="AZ114" i="17"/>
  <c r="AO114" i="17"/>
  <c r="AW114" i="17"/>
  <c r="BD114" i="17"/>
  <c r="X114" i="17"/>
  <c r="BC114" i="17"/>
  <c r="AY114" i="17"/>
  <c r="U114" i="17"/>
  <c r="AT114" i="17"/>
  <c r="AH114" i="17"/>
  <c r="AE114" i="17"/>
  <c r="Y114" i="17"/>
  <c r="P114" i="17"/>
  <c r="AX114" i="17"/>
  <c r="BF114" i="17"/>
  <c r="AJ114" i="17"/>
  <c r="AK114" i="17"/>
  <c r="AI114" i="17"/>
  <c r="Z114" i="17"/>
  <c r="AV114" i="17"/>
  <c r="AS114" i="17"/>
  <c r="AD114" i="17"/>
  <c r="AF114" i="17"/>
  <c r="AC114" i="17"/>
  <c r="V114" i="17"/>
  <c r="AP114" i="17"/>
  <c r="O114" i="17"/>
  <c r="W114" i="17"/>
  <c r="AG114" i="17"/>
  <c r="AN114" i="17"/>
  <c r="BH114" i="17"/>
  <c r="N114" i="17"/>
  <c r="Q114" i="17"/>
  <c r="AU114" i="17"/>
  <c r="T114" i="17"/>
  <c r="S114" i="17"/>
  <c r="R114" i="17"/>
  <c r="AL114" i="17"/>
  <c r="BG109" i="17"/>
  <c r="AQ109" i="17"/>
  <c r="AA109" i="17"/>
  <c r="AB109" i="17"/>
  <c r="BA109" i="17"/>
  <c r="AR109" i="17"/>
  <c r="BE109" i="17"/>
  <c r="BB109" i="17"/>
  <c r="AZ109" i="17"/>
  <c r="AO109" i="17"/>
  <c r="AW109" i="17"/>
  <c r="BD109" i="17"/>
  <c r="X109" i="17"/>
  <c r="BC109" i="17"/>
  <c r="AY109" i="17"/>
  <c r="U109" i="17"/>
  <c r="AT109" i="17"/>
  <c r="AH109" i="17"/>
  <c r="AE109" i="17"/>
  <c r="Y109" i="17"/>
  <c r="P109" i="17"/>
  <c r="AX109" i="17"/>
  <c r="BF109" i="17"/>
  <c r="AJ109" i="17"/>
  <c r="AK109" i="17"/>
  <c r="AI109" i="17"/>
  <c r="Z109" i="17"/>
  <c r="AV109" i="17"/>
  <c r="AS109" i="17"/>
  <c r="AD109" i="17"/>
  <c r="AF109" i="17"/>
  <c r="AC109" i="17"/>
  <c r="V109" i="17"/>
  <c r="AP109" i="17"/>
  <c r="O109" i="17"/>
  <c r="W109" i="17"/>
  <c r="AG109" i="17"/>
  <c r="AN109" i="17"/>
  <c r="BH109" i="17"/>
  <c r="N109" i="17"/>
  <c r="Q109" i="17"/>
  <c r="AU109" i="17"/>
  <c r="T109" i="17"/>
  <c r="S109" i="17"/>
  <c r="R109" i="17"/>
  <c r="AL109" i="17"/>
  <c r="AM109" i="17"/>
  <c r="AM115" i="17"/>
  <c r="AM114" i="17"/>
  <c r="Z51" i="19"/>
  <c r="Z50" i="19"/>
  <c r="Z49" i="19"/>
  <c r="Z48" i="19"/>
  <c r="Z47" i="19"/>
  <c r="Z46" i="19"/>
  <c r="Z45" i="19"/>
  <c r="Z44" i="19"/>
  <c r="Z43" i="19"/>
  <c r="Z42" i="19"/>
  <c r="Z41" i="19"/>
  <c r="Z40" i="19"/>
  <c r="Z39" i="19"/>
  <c r="Z38" i="19"/>
  <c r="Z37" i="19"/>
  <c r="Z36" i="19"/>
  <c r="Z35" i="19"/>
  <c r="Z33" i="19"/>
  <c r="Z32" i="19"/>
  <c r="Z31" i="19"/>
  <c r="Z30" i="19"/>
  <c r="Z29" i="19"/>
  <c r="Z28" i="19"/>
  <c r="Z27" i="19"/>
  <c r="Z26" i="19"/>
  <c r="Z25" i="19"/>
  <c r="Z24" i="19"/>
  <c r="Z23" i="19"/>
  <c r="Z22" i="19"/>
  <c r="Z21" i="19"/>
  <c r="Z20" i="19"/>
  <c r="Z19" i="19"/>
  <c r="Z18" i="19"/>
  <c r="Z17" i="19"/>
  <c r="Z16" i="19"/>
  <c r="Z15" i="19"/>
  <c r="Z14" i="19"/>
  <c r="Z13" i="19"/>
  <c r="Z12" i="19"/>
  <c r="Z11" i="19"/>
  <c r="Z10" i="19"/>
  <c r="Z9" i="19"/>
  <c r="Z8" i="19"/>
  <c r="Z7" i="19"/>
  <c r="Z6" i="19"/>
  <c r="Z5" i="19"/>
  <c r="Z4" i="19"/>
  <c r="BJ111" i="27"/>
  <c r="BJ100" i="27"/>
  <c r="BK114" i="27"/>
  <c r="U118" i="19"/>
  <c r="BG149" i="17"/>
  <c r="AQ149" i="17"/>
  <c r="AA149" i="17"/>
  <c r="AB149" i="17"/>
  <c r="BA149" i="17"/>
  <c r="AR149" i="17"/>
  <c r="BE149" i="17"/>
  <c r="BB149" i="17"/>
  <c r="AZ149" i="17"/>
  <c r="AO149" i="17"/>
  <c r="AW149" i="17"/>
  <c r="BD149" i="17"/>
  <c r="X149" i="17"/>
  <c r="BC149" i="17"/>
  <c r="AY149" i="17"/>
  <c r="U149" i="17"/>
  <c r="AT149" i="17"/>
  <c r="AH149" i="17"/>
  <c r="AE149" i="17"/>
  <c r="Y149" i="17"/>
  <c r="P149" i="17"/>
  <c r="AX149" i="17"/>
  <c r="BF149" i="17"/>
  <c r="AJ149" i="17"/>
  <c r="AK149" i="17"/>
  <c r="AI149" i="17"/>
  <c r="Z149" i="17"/>
  <c r="AV149" i="17"/>
  <c r="AS149" i="17"/>
  <c r="AD149" i="17"/>
  <c r="AF149" i="17"/>
  <c r="AC149" i="17"/>
  <c r="V149" i="17"/>
  <c r="AP149" i="17"/>
  <c r="O149" i="17"/>
  <c r="W149" i="17"/>
  <c r="AG149" i="17"/>
  <c r="AN149" i="17"/>
  <c r="BH149" i="17"/>
  <c r="N149" i="17"/>
  <c r="M149" i="17"/>
  <c r="Q149" i="17"/>
  <c r="AU149" i="17"/>
  <c r="T149" i="17"/>
  <c r="S149" i="17"/>
  <c r="R149" i="17"/>
  <c r="AL149" i="17"/>
  <c r="AM149" i="17"/>
  <c r="BG142" i="17"/>
  <c r="AQ142" i="17"/>
  <c r="AA142" i="17"/>
  <c r="AB142" i="17"/>
  <c r="BA142" i="17"/>
  <c r="AR142" i="17"/>
  <c r="BE142" i="17"/>
  <c r="BB142" i="17"/>
  <c r="AZ142" i="17"/>
  <c r="AO142" i="17"/>
  <c r="AW142" i="17"/>
  <c r="BD142" i="17"/>
  <c r="X142" i="17"/>
  <c r="BC142" i="17"/>
  <c r="AY142" i="17"/>
  <c r="U142" i="17"/>
  <c r="AT142" i="17"/>
  <c r="AH142" i="17"/>
  <c r="AE142" i="17"/>
  <c r="Y142" i="17"/>
  <c r="P142" i="17"/>
  <c r="AX142" i="17"/>
  <c r="BF142" i="17"/>
  <c r="AJ142" i="17"/>
  <c r="AK142" i="17"/>
  <c r="AI142" i="17"/>
  <c r="Z142" i="17"/>
  <c r="AV142" i="17"/>
  <c r="AS142" i="17"/>
  <c r="AD142" i="17"/>
  <c r="AF142" i="17"/>
  <c r="AC142" i="17"/>
  <c r="V142" i="17"/>
  <c r="AP142" i="17"/>
  <c r="O142" i="17"/>
  <c r="W142" i="17"/>
  <c r="AG142" i="17"/>
  <c r="AN142" i="17"/>
  <c r="BH142" i="17"/>
  <c r="N142" i="17"/>
  <c r="Q142" i="17"/>
  <c r="AU142" i="17"/>
  <c r="T142" i="17"/>
  <c r="S142" i="17"/>
  <c r="R142" i="17"/>
  <c r="AL142" i="17"/>
  <c r="AM142" i="17"/>
  <c r="BG141" i="17"/>
  <c r="AQ141" i="17"/>
  <c r="AA141" i="17"/>
  <c r="AB141" i="17"/>
  <c r="BA141" i="17"/>
  <c r="AR141" i="17"/>
  <c r="BE141" i="17"/>
  <c r="BB141" i="17"/>
  <c r="AZ141" i="17"/>
  <c r="AO141" i="17"/>
  <c r="AW141" i="17"/>
  <c r="BD141" i="17"/>
  <c r="X141" i="17"/>
  <c r="BC141" i="17"/>
  <c r="AY141" i="17"/>
  <c r="U141" i="17"/>
  <c r="AT141" i="17"/>
  <c r="AH141" i="17"/>
  <c r="AE141" i="17"/>
  <c r="Y141" i="17"/>
  <c r="P141" i="17"/>
  <c r="AX141" i="17"/>
  <c r="BF141" i="17"/>
  <c r="AJ141" i="17"/>
  <c r="AK141" i="17"/>
  <c r="AI141" i="17"/>
  <c r="Z141" i="17"/>
  <c r="AV141" i="17"/>
  <c r="AS141" i="17"/>
  <c r="AD141" i="17"/>
  <c r="AF141" i="17"/>
  <c r="AC141" i="17"/>
  <c r="V141" i="17"/>
  <c r="AP141" i="17"/>
  <c r="O141" i="17"/>
  <c r="W141" i="17"/>
  <c r="AG141" i="17"/>
  <c r="AN141" i="17"/>
  <c r="BH141" i="17"/>
  <c r="N141" i="17"/>
  <c r="Q141" i="17"/>
  <c r="AU141" i="17"/>
  <c r="T141" i="17"/>
  <c r="S141" i="17"/>
  <c r="R141" i="17"/>
  <c r="AL141" i="17"/>
  <c r="BG140" i="17"/>
  <c r="AQ140" i="17"/>
  <c r="AA140" i="17"/>
  <c r="AB140" i="17"/>
  <c r="BA140" i="17"/>
  <c r="AR140" i="17"/>
  <c r="BE140" i="17"/>
  <c r="BB140" i="17"/>
  <c r="AZ140" i="17"/>
  <c r="AO140" i="17"/>
  <c r="AW140" i="17"/>
  <c r="BD140" i="17"/>
  <c r="X140" i="17"/>
  <c r="BC140" i="17"/>
  <c r="AY140" i="17"/>
  <c r="U140" i="17"/>
  <c r="AT140" i="17"/>
  <c r="AH140" i="17"/>
  <c r="AE140" i="17"/>
  <c r="Y140" i="17"/>
  <c r="P140" i="17"/>
  <c r="AX140" i="17"/>
  <c r="BF140" i="17"/>
  <c r="AJ140" i="17"/>
  <c r="AK140" i="17"/>
  <c r="AI140" i="17"/>
  <c r="Z140" i="17"/>
  <c r="AV140" i="17"/>
  <c r="AS140" i="17"/>
  <c r="AD140" i="17"/>
  <c r="AF140" i="17"/>
  <c r="AC140" i="17"/>
  <c r="V140" i="17"/>
  <c r="AP140" i="17"/>
  <c r="O140" i="17"/>
  <c r="W140" i="17"/>
  <c r="AG140" i="17"/>
  <c r="AN140" i="17"/>
  <c r="BH140" i="17"/>
  <c r="N140" i="17"/>
  <c r="Q140" i="17"/>
  <c r="AU140" i="17"/>
  <c r="T140" i="17"/>
  <c r="S140" i="17"/>
  <c r="R140" i="17"/>
  <c r="AL140" i="17"/>
  <c r="AM140" i="17"/>
  <c r="BG139" i="17"/>
  <c r="AQ139" i="17"/>
  <c r="AA139" i="17"/>
  <c r="AB139" i="17"/>
  <c r="BA139" i="17"/>
  <c r="AR139" i="17"/>
  <c r="BE139" i="17"/>
  <c r="BB139" i="17"/>
  <c r="AZ139" i="17"/>
  <c r="AO139" i="17"/>
  <c r="AW139" i="17"/>
  <c r="BD139" i="17"/>
  <c r="X139" i="17"/>
  <c r="BC139" i="17"/>
  <c r="AY139" i="17"/>
  <c r="U139" i="17"/>
  <c r="AT139" i="17"/>
  <c r="AH139" i="17"/>
  <c r="AE139" i="17"/>
  <c r="Y139" i="17"/>
  <c r="P139" i="17"/>
  <c r="AX139" i="17"/>
  <c r="BF139" i="17"/>
  <c r="AJ139" i="17"/>
  <c r="AK139" i="17"/>
  <c r="AI139" i="17"/>
  <c r="Z139" i="17"/>
  <c r="AV139" i="17"/>
  <c r="AS139" i="17"/>
  <c r="AD139" i="17"/>
  <c r="AF139" i="17"/>
  <c r="AC139" i="17"/>
  <c r="V139" i="17"/>
  <c r="AP139" i="17"/>
  <c r="O139" i="17"/>
  <c r="W139" i="17"/>
  <c r="AG139" i="17"/>
  <c r="AN139" i="17"/>
  <c r="BH139" i="17"/>
  <c r="N139" i="17"/>
  <c r="Q139" i="17"/>
  <c r="AU139" i="17"/>
  <c r="T139" i="17"/>
  <c r="S139" i="17"/>
  <c r="R139" i="17"/>
  <c r="AL139" i="17"/>
  <c r="AM139" i="17"/>
  <c r="BG138" i="17"/>
  <c r="AQ138" i="17"/>
  <c r="AA138" i="17"/>
  <c r="AB138" i="17"/>
  <c r="BA138" i="17"/>
  <c r="AR138" i="17"/>
  <c r="BE138" i="17"/>
  <c r="BB138" i="17"/>
  <c r="AZ138" i="17"/>
  <c r="AO138" i="17"/>
  <c r="AW138" i="17"/>
  <c r="BD138" i="17"/>
  <c r="X138" i="17"/>
  <c r="BC138" i="17"/>
  <c r="AY138" i="17"/>
  <c r="U138" i="17"/>
  <c r="AT138" i="17"/>
  <c r="AH138" i="17"/>
  <c r="AE138" i="17"/>
  <c r="Y138" i="17"/>
  <c r="P138" i="17"/>
  <c r="AX138" i="17"/>
  <c r="BF138" i="17"/>
  <c r="AJ138" i="17"/>
  <c r="AK138" i="17"/>
  <c r="AI138" i="17"/>
  <c r="Z138" i="17"/>
  <c r="AV138" i="17"/>
  <c r="AS138" i="17"/>
  <c r="AD138" i="17"/>
  <c r="AF138" i="17"/>
  <c r="AC138" i="17"/>
  <c r="V138" i="17"/>
  <c r="AP138" i="17"/>
  <c r="O138" i="17"/>
  <c r="W138" i="17"/>
  <c r="AG138" i="17"/>
  <c r="AN138" i="17"/>
  <c r="BH138" i="17"/>
  <c r="N138" i="17"/>
  <c r="Q138" i="17"/>
  <c r="AU138" i="17"/>
  <c r="T138" i="17"/>
  <c r="S138" i="17"/>
  <c r="R138" i="17"/>
  <c r="AL138" i="17"/>
  <c r="AM138" i="17"/>
  <c r="BG132" i="17"/>
  <c r="AQ132" i="17"/>
  <c r="AA132" i="17"/>
  <c r="AB132" i="17"/>
  <c r="BA132" i="17"/>
  <c r="AR132" i="17"/>
  <c r="BE132" i="17"/>
  <c r="BB132" i="17"/>
  <c r="AZ132" i="17"/>
  <c r="AO132" i="17"/>
  <c r="AW132" i="17"/>
  <c r="BD132" i="17"/>
  <c r="X132" i="17"/>
  <c r="BC132" i="17"/>
  <c r="AY132" i="17"/>
  <c r="U132" i="17"/>
  <c r="AT132" i="17"/>
  <c r="AH132" i="17"/>
  <c r="AE132" i="17"/>
  <c r="Y132" i="17"/>
  <c r="P132" i="17"/>
  <c r="AX132" i="17"/>
  <c r="BF132" i="17"/>
  <c r="AJ132" i="17"/>
  <c r="AK132" i="17"/>
  <c r="AI132" i="17"/>
  <c r="Z132" i="17"/>
  <c r="AV132" i="17"/>
  <c r="AS132" i="17"/>
  <c r="AD132" i="17"/>
  <c r="AF132" i="17"/>
  <c r="AC132" i="17"/>
  <c r="V132" i="17"/>
  <c r="AP132" i="17"/>
  <c r="O132" i="17"/>
  <c r="W132" i="17"/>
  <c r="AG132" i="17"/>
  <c r="AN132" i="17"/>
  <c r="BH132" i="17"/>
  <c r="N132" i="17"/>
  <c r="M132" i="17"/>
  <c r="Q132" i="17"/>
  <c r="AU132" i="17"/>
  <c r="T132" i="17"/>
  <c r="S132" i="17"/>
  <c r="R132" i="17"/>
  <c r="AL132" i="17"/>
  <c r="AM132" i="17"/>
  <c r="BG131" i="17"/>
  <c r="AQ131" i="17"/>
  <c r="AA131" i="17"/>
  <c r="AB131" i="17"/>
  <c r="BA131" i="17"/>
  <c r="AR131" i="17"/>
  <c r="BE131" i="17"/>
  <c r="BB131" i="17"/>
  <c r="AZ131" i="17"/>
  <c r="AO131" i="17"/>
  <c r="AW131" i="17"/>
  <c r="BD131" i="17"/>
  <c r="X131" i="17"/>
  <c r="BC131" i="17"/>
  <c r="AY131" i="17"/>
  <c r="U131" i="17"/>
  <c r="AT131" i="17"/>
  <c r="AH131" i="17"/>
  <c r="AE131" i="17"/>
  <c r="Y131" i="17"/>
  <c r="P131" i="17"/>
  <c r="AX131" i="17"/>
  <c r="BF131" i="17"/>
  <c r="AJ131" i="17"/>
  <c r="AK131" i="17"/>
  <c r="AI131" i="17"/>
  <c r="Z131" i="17"/>
  <c r="AV131" i="17"/>
  <c r="AS131" i="17"/>
  <c r="AD131" i="17"/>
  <c r="AF131" i="17"/>
  <c r="AC131" i="17"/>
  <c r="V131" i="17"/>
  <c r="AP131" i="17"/>
  <c r="O131" i="17"/>
  <c r="W131" i="17"/>
  <c r="AG131" i="17"/>
  <c r="AN131" i="17"/>
  <c r="BH131" i="17"/>
  <c r="N131" i="17"/>
  <c r="M131" i="17"/>
  <c r="Q131" i="17"/>
  <c r="AU131" i="17"/>
  <c r="T131" i="17"/>
  <c r="S131" i="17"/>
  <c r="R131" i="17"/>
  <c r="AL131" i="17"/>
  <c r="AM131" i="17"/>
  <c r="BG130" i="17"/>
  <c r="AQ130" i="17"/>
  <c r="AA130" i="17"/>
  <c r="AB130" i="17"/>
  <c r="BA130" i="17"/>
  <c r="AR130" i="17"/>
  <c r="BE130" i="17"/>
  <c r="BB130" i="17"/>
  <c r="AZ130" i="17"/>
  <c r="AO130" i="17"/>
  <c r="AW130" i="17"/>
  <c r="BD130" i="17"/>
  <c r="X130" i="17"/>
  <c r="BC130" i="17"/>
  <c r="AY130" i="17"/>
  <c r="U130" i="17"/>
  <c r="AT130" i="17"/>
  <c r="AH130" i="17"/>
  <c r="AE130" i="17"/>
  <c r="Y130" i="17"/>
  <c r="P130" i="17"/>
  <c r="AX130" i="17"/>
  <c r="BF130" i="17"/>
  <c r="AJ130" i="17"/>
  <c r="AK130" i="17"/>
  <c r="AI130" i="17"/>
  <c r="Z130" i="17"/>
  <c r="AV130" i="17"/>
  <c r="AS130" i="17"/>
  <c r="AD130" i="17"/>
  <c r="AF130" i="17"/>
  <c r="AC130" i="17"/>
  <c r="V130" i="17"/>
  <c r="AP130" i="17"/>
  <c r="O130" i="17"/>
  <c r="W130" i="17"/>
  <c r="AG130" i="17"/>
  <c r="AN130" i="17"/>
  <c r="BH130" i="17"/>
  <c r="N130" i="17"/>
  <c r="M130" i="17"/>
  <c r="Q130" i="17"/>
  <c r="AU130" i="17"/>
  <c r="T130" i="17"/>
  <c r="S130" i="17"/>
  <c r="R130" i="17"/>
  <c r="AL130" i="17"/>
  <c r="AM130" i="17"/>
  <c r="BG129" i="17"/>
  <c r="AQ129" i="17"/>
  <c r="AA129" i="17"/>
  <c r="AB129" i="17"/>
  <c r="BA129" i="17"/>
  <c r="AR129" i="17"/>
  <c r="BE129" i="17"/>
  <c r="BB129" i="17"/>
  <c r="AZ129" i="17"/>
  <c r="AO129" i="17"/>
  <c r="AW129" i="17"/>
  <c r="BD129" i="17"/>
  <c r="X129" i="17"/>
  <c r="BC129" i="17"/>
  <c r="AY129" i="17"/>
  <c r="U129" i="17"/>
  <c r="AT129" i="17"/>
  <c r="AH129" i="17"/>
  <c r="AE129" i="17"/>
  <c r="Y129" i="17"/>
  <c r="P129" i="17"/>
  <c r="AX129" i="17"/>
  <c r="BF129" i="17"/>
  <c r="AJ129" i="17"/>
  <c r="AK129" i="17"/>
  <c r="AI129" i="17"/>
  <c r="Z129" i="17"/>
  <c r="AV129" i="17"/>
  <c r="AS129" i="17"/>
  <c r="AD129" i="17"/>
  <c r="AF129" i="17"/>
  <c r="AC129" i="17"/>
  <c r="V129" i="17"/>
  <c r="AP129" i="17"/>
  <c r="O129" i="17"/>
  <c r="W129" i="17"/>
  <c r="AG129" i="17"/>
  <c r="AN129" i="17"/>
  <c r="BH129" i="17"/>
  <c r="N129" i="17"/>
  <c r="M129" i="17"/>
  <c r="Q129" i="17"/>
  <c r="AU129" i="17"/>
  <c r="T129" i="17"/>
  <c r="S129" i="17"/>
  <c r="R129" i="17"/>
  <c r="AL129" i="17"/>
  <c r="AM129" i="17"/>
  <c r="BG128" i="17"/>
  <c r="AQ128" i="17"/>
  <c r="AA128" i="17"/>
  <c r="AB128" i="17"/>
  <c r="BA128" i="17"/>
  <c r="AR128" i="17"/>
  <c r="BE128" i="17"/>
  <c r="BB128" i="17"/>
  <c r="AZ128" i="17"/>
  <c r="AO128" i="17"/>
  <c r="AW128" i="17"/>
  <c r="BD128" i="17"/>
  <c r="X128" i="17"/>
  <c r="BC128" i="17"/>
  <c r="AY128" i="17"/>
  <c r="U128" i="17"/>
  <c r="AT128" i="17"/>
  <c r="AH128" i="17"/>
  <c r="AE128" i="17"/>
  <c r="Y128" i="17"/>
  <c r="P128" i="17"/>
  <c r="AX128" i="17"/>
  <c r="BF128" i="17"/>
  <c r="AJ128" i="17"/>
  <c r="AK128" i="17"/>
  <c r="AI128" i="17"/>
  <c r="Z128" i="17"/>
  <c r="AV128" i="17"/>
  <c r="AS128" i="17"/>
  <c r="AD128" i="17"/>
  <c r="AF128" i="17"/>
  <c r="AC128" i="17"/>
  <c r="V128" i="17"/>
  <c r="AP128" i="17"/>
  <c r="O128" i="17"/>
  <c r="W128" i="17"/>
  <c r="AG128" i="17"/>
  <c r="AN128" i="17"/>
  <c r="BH128" i="17"/>
  <c r="N128" i="17"/>
  <c r="M128" i="17"/>
  <c r="Q128" i="17"/>
  <c r="AU128" i="17"/>
  <c r="T128" i="17"/>
  <c r="S128" i="17"/>
  <c r="R128" i="17"/>
  <c r="AL128" i="17"/>
  <c r="AM128" i="17"/>
  <c r="BG119" i="17"/>
  <c r="AQ119" i="17"/>
  <c r="AA119" i="17"/>
  <c r="AB119" i="17"/>
  <c r="BA119" i="17"/>
  <c r="AR119" i="17"/>
  <c r="BE119" i="17"/>
  <c r="BB119" i="17"/>
  <c r="AZ119" i="17"/>
  <c r="AO119" i="17"/>
  <c r="BD119" i="17"/>
  <c r="X119" i="17"/>
  <c r="BC119" i="17"/>
  <c r="AY119" i="17"/>
  <c r="U119" i="17"/>
  <c r="AT119" i="17"/>
  <c r="AH119" i="17"/>
  <c r="AE119" i="17"/>
  <c r="Y119" i="17"/>
  <c r="P119" i="17"/>
  <c r="AX119" i="17"/>
  <c r="BF119" i="17"/>
  <c r="AJ119" i="17"/>
  <c r="AK119" i="17"/>
  <c r="AI119" i="17"/>
  <c r="Z119" i="17"/>
  <c r="AV119" i="17"/>
  <c r="AS119" i="17"/>
  <c r="AD119" i="17"/>
  <c r="AF119" i="17"/>
  <c r="AC119" i="17"/>
  <c r="V119" i="17"/>
  <c r="AP119" i="17"/>
  <c r="O119" i="17"/>
  <c r="W119" i="17"/>
  <c r="AG119" i="17"/>
  <c r="AN119" i="17"/>
  <c r="BH119" i="17"/>
  <c r="N119" i="17"/>
  <c r="Q119" i="17"/>
  <c r="AU119" i="17"/>
  <c r="T119" i="17"/>
  <c r="S119" i="17"/>
  <c r="R119" i="17"/>
  <c r="AL119" i="17"/>
  <c r="AM119" i="17"/>
  <c r="BG102" i="17"/>
  <c r="AQ102" i="17"/>
  <c r="AA102" i="17"/>
  <c r="AB102" i="17"/>
  <c r="BA102" i="17"/>
  <c r="AR102" i="17"/>
  <c r="BE102" i="17"/>
  <c r="BB102" i="17"/>
  <c r="AZ102" i="17"/>
  <c r="AO102" i="17"/>
  <c r="AW102" i="17"/>
  <c r="BD102" i="17"/>
  <c r="X102" i="17"/>
  <c r="BC102" i="17"/>
  <c r="AY102" i="17"/>
  <c r="U102" i="17"/>
  <c r="AT102" i="17"/>
  <c r="AH102" i="17"/>
  <c r="AE102" i="17"/>
  <c r="Y102" i="17"/>
  <c r="P102" i="17"/>
  <c r="AX102" i="17"/>
  <c r="BF102" i="17"/>
  <c r="AJ102" i="17"/>
  <c r="AK102" i="17"/>
  <c r="AI102" i="17"/>
  <c r="Z102" i="17"/>
  <c r="AV102" i="17"/>
  <c r="AS102" i="17"/>
  <c r="AD102" i="17"/>
  <c r="AF102" i="17"/>
  <c r="AC102" i="17"/>
  <c r="V102" i="17"/>
  <c r="AP102" i="17"/>
  <c r="O102" i="17"/>
  <c r="W102" i="17"/>
  <c r="AG102" i="17"/>
  <c r="AN102" i="17"/>
  <c r="BH102" i="17"/>
  <c r="N102" i="17"/>
  <c r="Q102" i="17"/>
  <c r="AU102" i="17"/>
  <c r="T102" i="17"/>
  <c r="S102" i="17"/>
  <c r="R102" i="17"/>
  <c r="AL102" i="17"/>
  <c r="AM102" i="17"/>
  <c r="BG101" i="17"/>
  <c r="AQ101" i="17"/>
  <c r="AA101" i="17"/>
  <c r="AB101" i="17"/>
  <c r="BA101" i="17"/>
  <c r="AR101" i="17"/>
  <c r="BE101" i="17"/>
  <c r="BB101" i="17"/>
  <c r="AZ101" i="17"/>
  <c r="AO101" i="17"/>
  <c r="AW101" i="17"/>
  <c r="BD101" i="17"/>
  <c r="X101" i="17"/>
  <c r="BC101" i="17"/>
  <c r="AY101" i="17"/>
  <c r="U101" i="17"/>
  <c r="AT101" i="17"/>
  <c r="AH101" i="17"/>
  <c r="AE101" i="17"/>
  <c r="Y101" i="17"/>
  <c r="P101" i="17"/>
  <c r="AX101" i="17"/>
  <c r="BF101" i="17"/>
  <c r="AJ101" i="17"/>
  <c r="AK101" i="17"/>
  <c r="AI101" i="17"/>
  <c r="Z101" i="17"/>
  <c r="AV101" i="17"/>
  <c r="AS101" i="17"/>
  <c r="AD101" i="17"/>
  <c r="AF101" i="17"/>
  <c r="AC101" i="17"/>
  <c r="V101" i="17"/>
  <c r="AP101" i="17"/>
  <c r="O101" i="17"/>
  <c r="W101" i="17"/>
  <c r="AG101" i="17"/>
  <c r="AN101" i="17"/>
  <c r="BH101" i="17"/>
  <c r="N101" i="17"/>
  <c r="Q101" i="17"/>
  <c r="AU101" i="17"/>
  <c r="T101" i="17"/>
  <c r="S101" i="17"/>
  <c r="R101" i="17"/>
  <c r="AL101" i="17"/>
  <c r="AM101" i="17"/>
  <c r="BG100" i="17"/>
  <c r="AQ100" i="17"/>
  <c r="AA100" i="17"/>
  <c r="AB100" i="17"/>
  <c r="BA100" i="17"/>
  <c r="AR100" i="17"/>
  <c r="BE100" i="17"/>
  <c r="BB100" i="17"/>
  <c r="AZ100" i="17"/>
  <c r="AO100" i="17"/>
  <c r="AW100" i="17"/>
  <c r="BD100" i="17"/>
  <c r="X100" i="17"/>
  <c r="BC100" i="17"/>
  <c r="AY100" i="17"/>
  <c r="U100" i="17"/>
  <c r="AT100" i="17"/>
  <c r="AH100" i="17"/>
  <c r="AE100" i="17"/>
  <c r="Y100" i="17"/>
  <c r="P100" i="17"/>
  <c r="AX100" i="17"/>
  <c r="BF100" i="17"/>
  <c r="AJ100" i="17"/>
  <c r="AK100" i="17"/>
  <c r="AI100" i="17"/>
  <c r="Z100" i="17"/>
  <c r="AV100" i="17"/>
  <c r="AS100" i="17"/>
  <c r="AD100" i="17"/>
  <c r="AF100" i="17"/>
  <c r="AC100" i="17"/>
  <c r="V100" i="17"/>
  <c r="AP100" i="17"/>
  <c r="O100" i="17"/>
  <c r="W100" i="17"/>
  <c r="AG100" i="17"/>
  <c r="AN100" i="17"/>
  <c r="BH100" i="17"/>
  <c r="N100" i="17"/>
  <c r="Q100" i="17"/>
  <c r="AU100" i="17"/>
  <c r="T100" i="17"/>
  <c r="S100" i="17"/>
  <c r="R100" i="17"/>
  <c r="AL100" i="17"/>
  <c r="AM100" i="17"/>
  <c r="BG99" i="17"/>
  <c r="AQ99" i="17"/>
  <c r="AA99" i="17"/>
  <c r="AB99" i="17"/>
  <c r="BA99" i="17"/>
  <c r="AR99" i="17"/>
  <c r="BE99" i="17"/>
  <c r="BB99" i="17"/>
  <c r="AZ99" i="17"/>
  <c r="AO99" i="17"/>
  <c r="AW99" i="17"/>
  <c r="BD99" i="17"/>
  <c r="X99" i="17"/>
  <c r="BC99" i="17"/>
  <c r="AY99" i="17"/>
  <c r="U99" i="17"/>
  <c r="AT99" i="17"/>
  <c r="AH99" i="17"/>
  <c r="AE99" i="17"/>
  <c r="Y99" i="17"/>
  <c r="P99" i="17"/>
  <c r="AX99" i="17"/>
  <c r="BF99" i="17"/>
  <c r="AJ99" i="17"/>
  <c r="AK99" i="17"/>
  <c r="AI99" i="17"/>
  <c r="Z99" i="17"/>
  <c r="AV99" i="17"/>
  <c r="AS99" i="17"/>
  <c r="AD99" i="17"/>
  <c r="AF99" i="17"/>
  <c r="AC99" i="17"/>
  <c r="V99" i="17"/>
  <c r="AP99" i="17"/>
  <c r="O99" i="17"/>
  <c r="W99" i="17"/>
  <c r="AG99" i="17"/>
  <c r="AN99" i="17"/>
  <c r="BH99" i="17"/>
  <c r="N99" i="17"/>
  <c r="Q99" i="17"/>
  <c r="AU99" i="17"/>
  <c r="T99" i="17"/>
  <c r="S99" i="17"/>
  <c r="R99" i="17"/>
  <c r="AL99" i="17"/>
  <c r="AM99" i="17"/>
  <c r="AW54" i="17"/>
  <c r="BF54" i="17"/>
  <c r="AW53" i="17"/>
  <c r="BF53" i="17"/>
  <c r="AW86" i="17"/>
  <c r="BF86" i="17"/>
  <c r="AW85" i="17"/>
  <c r="BF85" i="17"/>
  <c r="BG84" i="17"/>
  <c r="AQ84" i="17"/>
  <c r="AA84" i="17"/>
  <c r="AB84" i="17"/>
  <c r="BA84" i="17"/>
  <c r="AZ84" i="17"/>
  <c r="AO84" i="17"/>
  <c r="AW84" i="17"/>
  <c r="X84" i="17"/>
  <c r="AY84" i="17"/>
  <c r="U84" i="17"/>
  <c r="AT84" i="17"/>
  <c r="AH84" i="17"/>
  <c r="AE84" i="17"/>
  <c r="Y84" i="17"/>
  <c r="P84" i="17"/>
  <c r="AX84" i="17"/>
  <c r="AJ84" i="17"/>
  <c r="AK84" i="17"/>
  <c r="AI84" i="17"/>
  <c r="Z84" i="17"/>
  <c r="AV84" i="17"/>
  <c r="AS84" i="17"/>
  <c r="AD84" i="17"/>
  <c r="AF84" i="17"/>
  <c r="AC84" i="17"/>
  <c r="V84" i="17"/>
  <c r="AP84" i="17"/>
  <c r="O84" i="17"/>
  <c r="W84" i="17"/>
  <c r="AG84" i="17"/>
  <c r="AN84" i="17"/>
  <c r="BH84" i="17"/>
  <c r="N84" i="17"/>
  <c r="Q84" i="17"/>
  <c r="AU84" i="17"/>
  <c r="T84" i="17"/>
  <c r="S84" i="17"/>
  <c r="R84" i="17"/>
  <c r="AL84" i="17"/>
  <c r="AM84" i="17"/>
  <c r="AW83" i="17"/>
  <c r="BF83" i="17"/>
  <c r="AW82" i="17"/>
  <c r="BF82" i="17"/>
  <c r="BG81" i="17"/>
  <c r="AQ81" i="17"/>
  <c r="AA81" i="17"/>
  <c r="AB81" i="17"/>
  <c r="BA81" i="17"/>
  <c r="AR81" i="17"/>
  <c r="BE81" i="17"/>
  <c r="BB81" i="17"/>
  <c r="AZ81" i="17"/>
  <c r="AO81" i="17"/>
  <c r="AW81" i="17"/>
  <c r="BD81" i="17"/>
  <c r="X81" i="17"/>
  <c r="BC81" i="17"/>
  <c r="AY81" i="17"/>
  <c r="U81" i="17"/>
  <c r="AT81" i="17"/>
  <c r="AH81" i="17"/>
  <c r="AE81" i="17"/>
  <c r="Y81" i="17"/>
  <c r="P81" i="17"/>
  <c r="AX81" i="17"/>
  <c r="BF81" i="17"/>
  <c r="AJ81" i="17"/>
  <c r="AK81" i="17"/>
  <c r="AI81" i="17"/>
  <c r="Z81" i="17"/>
  <c r="AV81" i="17"/>
  <c r="AS81" i="17"/>
  <c r="AD81" i="17"/>
  <c r="AF81" i="17"/>
  <c r="AC81" i="17"/>
  <c r="V81" i="17"/>
  <c r="AP81" i="17"/>
  <c r="O81" i="17"/>
  <c r="W81" i="17"/>
  <c r="AG81" i="17"/>
  <c r="AN81" i="17"/>
  <c r="BH81" i="17"/>
  <c r="N81" i="17"/>
  <c r="Q81" i="17"/>
  <c r="AU81" i="17"/>
  <c r="T81" i="17"/>
  <c r="S81" i="17"/>
  <c r="R81" i="17"/>
  <c r="AL81" i="17"/>
  <c r="AM81" i="17"/>
  <c r="BG80" i="17"/>
  <c r="AR80" i="17"/>
  <c r="BE80" i="17"/>
  <c r="BB80" i="17"/>
  <c r="BD80" i="17"/>
  <c r="BC80" i="17"/>
  <c r="U80" i="17"/>
  <c r="AT80" i="17"/>
  <c r="AH80" i="17"/>
  <c r="BF80" i="17"/>
  <c r="AF80" i="17"/>
  <c r="V80" i="17"/>
  <c r="AG80" i="17"/>
  <c r="AU80" i="17"/>
  <c r="T80" i="17"/>
  <c r="S80" i="17"/>
  <c r="R80" i="17"/>
  <c r="AQ79" i="17"/>
  <c r="AA79" i="17"/>
  <c r="AB79" i="17"/>
  <c r="BA79" i="17"/>
  <c r="AR79" i="17"/>
  <c r="BE79" i="17"/>
  <c r="BB79" i="17"/>
  <c r="AZ79" i="17"/>
  <c r="AO79" i="17"/>
  <c r="AW79" i="17"/>
  <c r="BD79" i="17"/>
  <c r="X79" i="17"/>
  <c r="BC79" i="17"/>
  <c r="AY79" i="17"/>
  <c r="AE79" i="17"/>
  <c r="Y79" i="17"/>
  <c r="P79" i="17"/>
  <c r="AX79" i="17"/>
  <c r="BF79" i="17"/>
  <c r="AJ79" i="17"/>
  <c r="AK79" i="17"/>
  <c r="AI79" i="17"/>
  <c r="Z79" i="17"/>
  <c r="AV79" i="17"/>
  <c r="AS79" i="17"/>
  <c r="AD79" i="17"/>
  <c r="AC79" i="17"/>
  <c r="AP79" i="17"/>
  <c r="O79" i="17"/>
  <c r="W79" i="17"/>
  <c r="AN79" i="17"/>
  <c r="BH79" i="17"/>
  <c r="N79" i="17"/>
  <c r="Q79" i="17"/>
  <c r="AL79" i="17"/>
  <c r="AM79" i="17"/>
  <c r="BG90" i="17"/>
  <c r="AQ90" i="17"/>
  <c r="AA90" i="17"/>
  <c r="AB90" i="17"/>
  <c r="BA90" i="17"/>
  <c r="AR90" i="17"/>
  <c r="BE90" i="17"/>
  <c r="BB90" i="17"/>
  <c r="AZ90" i="17"/>
  <c r="AO90" i="17"/>
  <c r="AW90" i="17"/>
  <c r="BD90" i="17"/>
  <c r="X90" i="17"/>
  <c r="BC90" i="17"/>
  <c r="AY90" i="17"/>
  <c r="U90" i="17"/>
  <c r="AT90" i="17"/>
  <c r="AH90" i="17"/>
  <c r="AE90" i="17"/>
  <c r="Y90" i="17"/>
  <c r="P90" i="17"/>
  <c r="AX90" i="17"/>
  <c r="BF90" i="17"/>
  <c r="AJ90" i="17"/>
  <c r="AK90" i="17"/>
  <c r="AI90" i="17"/>
  <c r="Z90" i="17"/>
  <c r="AV90" i="17"/>
  <c r="AS90" i="17"/>
  <c r="AD90" i="17"/>
  <c r="AF90" i="17"/>
  <c r="AC90" i="17"/>
  <c r="V90" i="17"/>
  <c r="AP90" i="17"/>
  <c r="O90" i="17"/>
  <c r="W90" i="17"/>
  <c r="AG90" i="17"/>
  <c r="AN90" i="17"/>
  <c r="BH90" i="17"/>
  <c r="N90" i="17"/>
  <c r="Q90" i="17"/>
  <c r="AU90" i="17"/>
  <c r="T90" i="17"/>
  <c r="S90" i="17"/>
  <c r="R90" i="17"/>
  <c r="AL90" i="17"/>
  <c r="AM90" i="17"/>
  <c r="BG88" i="17"/>
  <c r="AQ88" i="17"/>
  <c r="AA88" i="17"/>
  <c r="AB88" i="17"/>
  <c r="BA88" i="17"/>
  <c r="AR88" i="17"/>
  <c r="BE88" i="17"/>
  <c r="BB88" i="17"/>
  <c r="AZ88" i="17"/>
  <c r="AO88" i="17"/>
  <c r="AW88" i="17"/>
  <c r="BD88" i="17"/>
  <c r="X88" i="17"/>
  <c r="BC88" i="17"/>
  <c r="AY88" i="17"/>
  <c r="U88" i="17"/>
  <c r="AT88" i="17"/>
  <c r="AH88" i="17"/>
  <c r="AE88" i="17"/>
  <c r="Y88" i="17"/>
  <c r="P88" i="17"/>
  <c r="AX88" i="17"/>
  <c r="BF88" i="17"/>
  <c r="AJ88" i="17"/>
  <c r="AK88" i="17"/>
  <c r="AI88" i="17"/>
  <c r="Z88" i="17"/>
  <c r="AV88" i="17"/>
  <c r="AS88" i="17"/>
  <c r="AD88" i="17"/>
  <c r="AF88" i="17"/>
  <c r="AC88" i="17"/>
  <c r="V88" i="17"/>
  <c r="AP88" i="17"/>
  <c r="O88" i="17"/>
  <c r="W88" i="17"/>
  <c r="AG88" i="17"/>
  <c r="AN88" i="17"/>
  <c r="BH88" i="17"/>
  <c r="N88" i="17"/>
  <c r="Q88" i="17"/>
  <c r="AU88" i="17"/>
  <c r="T88" i="17"/>
  <c r="S88" i="17"/>
  <c r="R88" i="17"/>
  <c r="AL88" i="17"/>
  <c r="AM88" i="17"/>
  <c r="BG87" i="17"/>
  <c r="AQ87" i="17"/>
  <c r="AA87" i="17"/>
  <c r="AB87" i="17"/>
  <c r="BA87" i="17"/>
  <c r="AR87" i="17"/>
  <c r="BE87" i="17"/>
  <c r="BB87" i="17"/>
  <c r="AZ87" i="17"/>
  <c r="AO87" i="17"/>
  <c r="AW87" i="17"/>
  <c r="BD87" i="17"/>
  <c r="X87" i="17"/>
  <c r="BC87" i="17"/>
  <c r="AY87" i="17"/>
  <c r="U87" i="17"/>
  <c r="AT87" i="17"/>
  <c r="AH87" i="17"/>
  <c r="AE87" i="17"/>
  <c r="Y87" i="17"/>
  <c r="P87" i="17"/>
  <c r="AX87" i="17"/>
  <c r="BF87" i="17"/>
  <c r="AJ87" i="17"/>
  <c r="AK87" i="17"/>
  <c r="AI87" i="17"/>
  <c r="Z87" i="17"/>
  <c r="AV87" i="17"/>
  <c r="AS87" i="17"/>
  <c r="AD87" i="17"/>
  <c r="AF87" i="17"/>
  <c r="AC87" i="17"/>
  <c r="V87" i="17"/>
  <c r="AP87" i="17"/>
  <c r="O87" i="17"/>
  <c r="W87" i="17"/>
  <c r="AG87" i="17"/>
  <c r="AN87" i="17"/>
  <c r="BH87" i="17"/>
  <c r="N87" i="17"/>
  <c r="Q87" i="17"/>
  <c r="AU87" i="17"/>
  <c r="T87" i="17"/>
  <c r="S87" i="17"/>
  <c r="R87" i="17"/>
  <c r="AL87" i="17"/>
  <c r="AM87" i="17"/>
  <c r="BG60" i="17"/>
  <c r="AQ60" i="17"/>
  <c r="AA60" i="17"/>
  <c r="AB60" i="17"/>
  <c r="BA60" i="17"/>
  <c r="AR60" i="17"/>
  <c r="BE60" i="17"/>
  <c r="BB60" i="17"/>
  <c r="AZ60" i="17"/>
  <c r="AO60" i="17"/>
  <c r="AW60" i="17"/>
  <c r="BD60" i="17"/>
  <c r="X60" i="17"/>
  <c r="BC60" i="17"/>
  <c r="AY60" i="17"/>
  <c r="U60" i="17"/>
  <c r="AT60" i="17"/>
  <c r="AH60" i="17"/>
  <c r="AE60" i="17"/>
  <c r="Y60" i="17"/>
  <c r="P60" i="17"/>
  <c r="AX60" i="17"/>
  <c r="BF60" i="17"/>
  <c r="AJ60" i="17"/>
  <c r="AK60" i="17"/>
  <c r="AI60" i="17"/>
  <c r="Z60" i="17"/>
  <c r="AV60" i="17"/>
  <c r="AS60" i="17"/>
  <c r="AD60" i="17"/>
  <c r="AF60" i="17"/>
  <c r="AC60" i="17"/>
  <c r="V60" i="17"/>
  <c r="AP60" i="17"/>
  <c r="O60" i="17"/>
  <c r="W60" i="17"/>
  <c r="AG60" i="17"/>
  <c r="AN60" i="17"/>
  <c r="BH60" i="17"/>
  <c r="N60" i="17"/>
  <c r="M60" i="17"/>
  <c r="Q60" i="17"/>
  <c r="AU60" i="17"/>
  <c r="T60" i="17"/>
  <c r="S60" i="17"/>
  <c r="R60" i="17"/>
  <c r="AL60" i="17"/>
  <c r="AM60" i="17"/>
  <c r="BG55" i="17"/>
  <c r="AQ55" i="17"/>
  <c r="AA55" i="17"/>
  <c r="AB55" i="17"/>
  <c r="BA55" i="17"/>
  <c r="AR55" i="17"/>
  <c r="BE55" i="17"/>
  <c r="BB55" i="17"/>
  <c r="AZ55" i="17"/>
  <c r="AO55" i="17"/>
  <c r="AW55" i="17"/>
  <c r="BD55" i="17"/>
  <c r="X55" i="17"/>
  <c r="BC55" i="17"/>
  <c r="AY55" i="17"/>
  <c r="U55" i="17"/>
  <c r="AT55" i="17"/>
  <c r="AH55" i="17"/>
  <c r="AE55" i="17"/>
  <c r="Y55" i="17"/>
  <c r="P55" i="17"/>
  <c r="AX55" i="17"/>
  <c r="BF55" i="17"/>
  <c r="AJ55" i="17"/>
  <c r="AK55" i="17"/>
  <c r="AI55" i="17"/>
  <c r="Z55" i="17"/>
  <c r="AV55" i="17"/>
  <c r="AS55" i="17"/>
  <c r="AD55" i="17"/>
  <c r="AF55" i="17"/>
  <c r="AC55" i="17"/>
  <c r="V55" i="17"/>
  <c r="AP55" i="17"/>
  <c r="O55" i="17"/>
  <c r="W55" i="17"/>
  <c r="AG55" i="17"/>
  <c r="AN55" i="17"/>
  <c r="BH55" i="17"/>
  <c r="N55" i="17"/>
  <c r="Q55" i="17"/>
  <c r="AU55" i="17"/>
  <c r="T55" i="17"/>
  <c r="S55" i="17"/>
  <c r="R55" i="17"/>
  <c r="AL55" i="17"/>
  <c r="AM55" i="17"/>
  <c r="BG50" i="17"/>
  <c r="AQ50" i="17"/>
  <c r="AA50" i="17"/>
  <c r="AB50" i="17"/>
  <c r="BA50" i="17"/>
  <c r="AR50" i="17"/>
  <c r="BE50" i="17"/>
  <c r="BB50" i="17"/>
  <c r="AZ50" i="17"/>
  <c r="AO50" i="17"/>
  <c r="AW50" i="17"/>
  <c r="BD50" i="17"/>
  <c r="X50" i="17"/>
  <c r="BC50" i="17"/>
  <c r="AY50" i="17"/>
  <c r="U50" i="17"/>
  <c r="AT50" i="17"/>
  <c r="AH50" i="17"/>
  <c r="AE50" i="17"/>
  <c r="Y50" i="17"/>
  <c r="P50" i="17"/>
  <c r="AX50" i="17"/>
  <c r="BF50" i="17"/>
  <c r="AJ50" i="17"/>
  <c r="AK50" i="17"/>
  <c r="AI50" i="17"/>
  <c r="Z50" i="17"/>
  <c r="AV50" i="17"/>
  <c r="AS50" i="17"/>
  <c r="AD50" i="17"/>
  <c r="AF50" i="17"/>
  <c r="AC50" i="17"/>
  <c r="V50" i="17"/>
  <c r="AP50" i="17"/>
  <c r="O50" i="17"/>
  <c r="W50" i="17"/>
  <c r="AG50" i="17"/>
  <c r="AN50" i="17"/>
  <c r="BH50" i="17"/>
  <c r="N50" i="17"/>
  <c r="M50" i="17"/>
  <c r="Q50" i="17"/>
  <c r="AU50" i="17"/>
  <c r="T50" i="17"/>
  <c r="S50" i="17"/>
  <c r="R50" i="17"/>
  <c r="AL50" i="17"/>
  <c r="AM50" i="17"/>
  <c r="BG41" i="17"/>
  <c r="AQ41" i="17"/>
  <c r="AA41" i="17"/>
  <c r="AB41" i="17"/>
  <c r="BA41" i="17"/>
  <c r="AR41" i="17"/>
  <c r="BE41" i="17"/>
  <c r="BB41" i="17"/>
  <c r="AZ41" i="17"/>
  <c r="AO41" i="17"/>
  <c r="BD41" i="17"/>
  <c r="X41" i="17"/>
  <c r="BC41" i="17"/>
  <c r="AY41" i="17"/>
  <c r="U41" i="17"/>
  <c r="AT41" i="17"/>
  <c r="AH41" i="17"/>
  <c r="AE41" i="17"/>
  <c r="Y41" i="17"/>
  <c r="P41" i="17"/>
  <c r="AX41" i="17"/>
  <c r="BF41" i="17"/>
  <c r="AJ41" i="17"/>
  <c r="AK41" i="17"/>
  <c r="AI41" i="17"/>
  <c r="Z41" i="17"/>
  <c r="AV41" i="17"/>
  <c r="AS41" i="17"/>
  <c r="AD41" i="17"/>
  <c r="AF41" i="17"/>
  <c r="AC41" i="17"/>
  <c r="V41" i="17"/>
  <c r="AP41" i="17"/>
  <c r="O41" i="17"/>
  <c r="W41" i="17"/>
  <c r="AG41" i="17"/>
  <c r="AN41" i="17"/>
  <c r="BH41" i="17"/>
  <c r="N41" i="17"/>
  <c r="M41" i="17"/>
  <c r="Q41" i="17"/>
  <c r="AU41" i="17"/>
  <c r="T41" i="17"/>
  <c r="S41" i="17"/>
  <c r="R41" i="17"/>
  <c r="AL41" i="17"/>
  <c r="AM41" i="17"/>
  <c r="AW40" i="17"/>
  <c r="BG7" i="17"/>
  <c r="AQ7" i="17"/>
  <c r="AA7" i="17"/>
  <c r="AB7" i="17"/>
  <c r="BA7" i="17"/>
  <c r="AR7" i="17"/>
  <c r="BE7" i="17"/>
  <c r="BB7" i="17"/>
  <c r="AZ7" i="17"/>
  <c r="AO7" i="17"/>
  <c r="AW7" i="17"/>
  <c r="BD7" i="17"/>
  <c r="X7" i="17"/>
  <c r="BC7" i="17"/>
  <c r="AY7" i="17"/>
  <c r="U7" i="17"/>
  <c r="AT7" i="17"/>
  <c r="AH7" i="17"/>
  <c r="AE7" i="17"/>
  <c r="Y7" i="17"/>
  <c r="P7" i="17"/>
  <c r="AX7" i="17"/>
  <c r="BF7" i="17"/>
  <c r="AJ7" i="17"/>
  <c r="AK7" i="17"/>
  <c r="AI7" i="17"/>
  <c r="Z7" i="17"/>
  <c r="AV7" i="17"/>
  <c r="AS7" i="17"/>
  <c r="AD7" i="17"/>
  <c r="AF7" i="17"/>
  <c r="AC7" i="17"/>
  <c r="V7" i="17"/>
  <c r="AP7" i="17"/>
  <c r="O7" i="17"/>
  <c r="W7" i="17"/>
  <c r="AG7" i="17"/>
  <c r="AN7" i="17"/>
  <c r="BH7" i="17"/>
  <c r="N7" i="17"/>
  <c r="M7" i="17"/>
  <c r="Q7" i="17"/>
  <c r="AU7" i="17"/>
  <c r="T7" i="17"/>
  <c r="S7" i="17"/>
  <c r="R7" i="17"/>
  <c r="AL7" i="17"/>
  <c r="AM7" i="17"/>
  <c r="BG6" i="17"/>
  <c r="AQ6" i="17"/>
  <c r="AA6" i="17"/>
  <c r="AB6" i="17"/>
  <c r="BA6" i="17"/>
  <c r="AR6" i="17"/>
  <c r="BE6" i="17"/>
  <c r="BB6" i="17"/>
  <c r="AZ6" i="17"/>
  <c r="AO6" i="17"/>
  <c r="AW6" i="17"/>
  <c r="BD6" i="17"/>
  <c r="X6" i="17"/>
  <c r="BC6" i="17"/>
  <c r="AY6" i="17"/>
  <c r="U6" i="17"/>
  <c r="AT6" i="17"/>
  <c r="AH6" i="17"/>
  <c r="AE6" i="17"/>
  <c r="Y6" i="17"/>
  <c r="P6" i="17"/>
  <c r="AX6" i="17"/>
  <c r="BF6" i="17"/>
  <c r="AJ6" i="17"/>
  <c r="AK6" i="17"/>
  <c r="AI6" i="17"/>
  <c r="Z6" i="17"/>
  <c r="AV6" i="17"/>
  <c r="AS6" i="17"/>
  <c r="AD6" i="17"/>
  <c r="AF6" i="17"/>
  <c r="AC6" i="17"/>
  <c r="V6" i="17"/>
  <c r="AP6" i="17"/>
  <c r="O6" i="17"/>
  <c r="W6" i="17"/>
  <c r="AG6" i="17"/>
  <c r="AN6" i="17"/>
  <c r="BH6" i="17"/>
  <c r="N6" i="17"/>
  <c r="M6" i="17"/>
  <c r="Q6" i="17"/>
  <c r="AU6" i="17"/>
  <c r="T6" i="17"/>
  <c r="S6" i="17"/>
  <c r="R6" i="17"/>
  <c r="AL6" i="17"/>
  <c r="AM6" i="17"/>
  <c r="BG4" i="17"/>
  <c r="AQ4" i="17"/>
  <c r="AA4" i="17"/>
  <c r="AB4" i="17"/>
  <c r="BA4" i="17"/>
  <c r="AR4" i="17"/>
  <c r="BE4" i="17"/>
  <c r="BB4" i="17"/>
  <c r="AZ4" i="17"/>
  <c r="AO4" i="17"/>
  <c r="AW4" i="17"/>
  <c r="BD4" i="17"/>
  <c r="X4" i="17"/>
  <c r="BC4" i="17"/>
  <c r="AY4" i="17"/>
  <c r="U4" i="17"/>
  <c r="AT4" i="17"/>
  <c r="AH4" i="17"/>
  <c r="AE4" i="17"/>
  <c r="Y4" i="17"/>
  <c r="P4" i="17"/>
  <c r="AX4" i="17"/>
  <c r="BF4" i="17"/>
  <c r="AJ4" i="17"/>
  <c r="AK4" i="17"/>
  <c r="AI4" i="17"/>
  <c r="Z4" i="17"/>
  <c r="AV4" i="17"/>
  <c r="AS4" i="17"/>
  <c r="AD4" i="17"/>
  <c r="AF4" i="17"/>
  <c r="AC4" i="17"/>
  <c r="V4" i="17"/>
  <c r="AP4" i="17"/>
  <c r="O4" i="17"/>
  <c r="W4" i="17"/>
  <c r="AG4" i="17"/>
  <c r="AN4" i="17"/>
  <c r="BH4" i="17"/>
  <c r="N4" i="17"/>
  <c r="M4" i="17"/>
  <c r="Q4" i="17"/>
  <c r="AU4" i="17"/>
  <c r="T4" i="17"/>
  <c r="S4" i="17"/>
  <c r="R4" i="17"/>
  <c r="AL4" i="17"/>
  <c r="AM4" i="17"/>
  <c r="BG18" i="17"/>
  <c r="AQ18" i="17"/>
  <c r="AA18" i="17"/>
  <c r="AB18" i="17"/>
  <c r="BA18" i="17"/>
  <c r="AR18" i="17"/>
  <c r="BE18" i="17"/>
  <c r="BB18" i="17"/>
  <c r="AZ18" i="17"/>
  <c r="AO18" i="17"/>
  <c r="AW18" i="17"/>
  <c r="BD18" i="17"/>
  <c r="X18" i="17"/>
  <c r="BC18" i="17"/>
  <c r="AY18" i="17"/>
  <c r="U18" i="17"/>
  <c r="AT18" i="17"/>
  <c r="AH18" i="17"/>
  <c r="AE18" i="17"/>
  <c r="Y18" i="17"/>
  <c r="P18" i="17"/>
  <c r="AX18" i="17"/>
  <c r="BF18" i="17"/>
  <c r="AJ18" i="17"/>
  <c r="AK18" i="17"/>
  <c r="AI18" i="17"/>
  <c r="Z18" i="17"/>
  <c r="AV18" i="17"/>
  <c r="AS18" i="17"/>
  <c r="AD18" i="17"/>
  <c r="AF18" i="17"/>
  <c r="AC18" i="17"/>
  <c r="V18" i="17"/>
  <c r="AP18" i="17"/>
  <c r="O18" i="17"/>
  <c r="W18" i="17"/>
  <c r="AG18" i="17"/>
  <c r="AN18" i="17"/>
  <c r="BH18" i="17"/>
  <c r="N18" i="17"/>
  <c r="M18" i="17"/>
  <c r="Q18" i="17"/>
  <c r="AU18" i="17"/>
  <c r="T18" i="17"/>
  <c r="S18" i="17"/>
  <c r="R18" i="17"/>
  <c r="AL18" i="17"/>
  <c r="BG17" i="17"/>
  <c r="AQ17" i="17"/>
  <c r="AA17" i="17"/>
  <c r="AB17" i="17"/>
  <c r="BA17" i="17"/>
  <c r="AR17" i="17"/>
  <c r="BE17" i="17"/>
  <c r="BB17" i="17"/>
  <c r="AZ17" i="17"/>
  <c r="AO17" i="17"/>
  <c r="AW17" i="17"/>
  <c r="BD17" i="17"/>
  <c r="X17" i="17"/>
  <c r="BC17" i="17"/>
  <c r="AY17" i="17"/>
  <c r="U17" i="17"/>
  <c r="AT17" i="17"/>
  <c r="AH17" i="17"/>
  <c r="AE17" i="17"/>
  <c r="Y17" i="17"/>
  <c r="P17" i="17"/>
  <c r="AX17" i="17"/>
  <c r="BF17" i="17"/>
  <c r="AJ17" i="17"/>
  <c r="AK17" i="17"/>
  <c r="AI17" i="17"/>
  <c r="Z17" i="17"/>
  <c r="AV17" i="17"/>
  <c r="AS17" i="17"/>
  <c r="AD17" i="17"/>
  <c r="AF17" i="17"/>
  <c r="AC17" i="17"/>
  <c r="V17" i="17"/>
  <c r="AP17" i="17"/>
  <c r="O17" i="17"/>
  <c r="W17" i="17"/>
  <c r="AG17" i="17"/>
  <c r="AN17" i="17"/>
  <c r="BH17" i="17"/>
  <c r="N17" i="17"/>
  <c r="M17" i="17"/>
  <c r="Q17" i="17"/>
  <c r="AU17" i="17"/>
  <c r="T17" i="17"/>
  <c r="S17" i="17"/>
  <c r="R17" i="17"/>
  <c r="AL17" i="17"/>
  <c r="AM17" i="17"/>
  <c r="BG14" i="17"/>
  <c r="AQ14" i="17"/>
  <c r="AA14" i="17"/>
  <c r="AB14" i="17"/>
  <c r="BA14" i="17"/>
  <c r="AR14" i="17"/>
  <c r="BE14" i="17"/>
  <c r="BB14" i="17"/>
  <c r="AZ14" i="17"/>
  <c r="AO14" i="17"/>
  <c r="AW14" i="17"/>
  <c r="BD14" i="17"/>
  <c r="X14" i="17"/>
  <c r="BC14" i="17"/>
  <c r="AY14" i="17"/>
  <c r="U14" i="17"/>
  <c r="AT14" i="17"/>
  <c r="AH14" i="17"/>
  <c r="AE14" i="17"/>
  <c r="Y14" i="17"/>
  <c r="P14" i="17"/>
  <c r="AX14" i="17"/>
  <c r="BF14" i="17"/>
  <c r="AJ14" i="17"/>
  <c r="AK14" i="17"/>
  <c r="AI14" i="17"/>
  <c r="Z14" i="17"/>
  <c r="AV14" i="17"/>
  <c r="AS14" i="17"/>
  <c r="AD14" i="17"/>
  <c r="AF14" i="17"/>
  <c r="AC14" i="17"/>
  <c r="V14" i="17"/>
  <c r="AP14" i="17"/>
  <c r="O14" i="17"/>
  <c r="W14" i="17"/>
  <c r="AG14" i="17"/>
  <c r="AN14" i="17"/>
  <c r="BH14" i="17"/>
  <c r="N14" i="17"/>
  <c r="M14" i="17"/>
  <c r="Q14" i="17"/>
  <c r="AU14" i="17"/>
  <c r="T14" i="17"/>
  <c r="S14" i="17"/>
  <c r="R14" i="17"/>
  <c r="AL14" i="17"/>
  <c r="AM14" i="17"/>
  <c r="BG13" i="17"/>
  <c r="AQ13" i="17"/>
  <c r="AA13" i="17"/>
  <c r="AB13" i="17"/>
  <c r="BA13" i="17"/>
  <c r="AR13" i="17"/>
  <c r="BE13" i="17"/>
  <c r="BB13" i="17"/>
  <c r="AZ13" i="17"/>
  <c r="AO13" i="17"/>
  <c r="AW13" i="17"/>
  <c r="BD13" i="17"/>
  <c r="X13" i="17"/>
  <c r="BC13" i="17"/>
  <c r="AY13" i="17"/>
  <c r="U13" i="17"/>
  <c r="AT13" i="17"/>
  <c r="AH13" i="17"/>
  <c r="AE13" i="17"/>
  <c r="Y13" i="17"/>
  <c r="P13" i="17"/>
  <c r="AX13" i="17"/>
  <c r="BF13" i="17"/>
  <c r="AJ13" i="17"/>
  <c r="AK13" i="17"/>
  <c r="AI13" i="17"/>
  <c r="Z13" i="17"/>
  <c r="AV13" i="17"/>
  <c r="AS13" i="17"/>
  <c r="AD13" i="17"/>
  <c r="AF13" i="17"/>
  <c r="AC13" i="17"/>
  <c r="V13" i="17"/>
  <c r="AP13" i="17"/>
  <c r="O13" i="17"/>
  <c r="W13" i="17"/>
  <c r="AG13" i="17"/>
  <c r="AN13" i="17"/>
  <c r="BH13" i="17"/>
  <c r="N13" i="17"/>
  <c r="M13" i="17"/>
  <c r="Q13" i="17"/>
  <c r="AU13" i="17"/>
  <c r="T13" i="17"/>
  <c r="S13" i="17"/>
  <c r="R13" i="17"/>
  <c r="AL13" i="17"/>
  <c r="AM13" i="17"/>
  <c r="BG11" i="17"/>
  <c r="AQ11" i="17"/>
  <c r="AA11" i="17"/>
  <c r="AB11" i="17"/>
  <c r="BA11" i="17"/>
  <c r="AR11" i="17"/>
  <c r="BE11" i="17"/>
  <c r="BB11" i="17"/>
  <c r="AZ11" i="17"/>
  <c r="AO11" i="17"/>
  <c r="AW11" i="17"/>
  <c r="BD11" i="17"/>
  <c r="X11" i="17"/>
  <c r="BC11" i="17"/>
  <c r="AY11" i="17"/>
  <c r="U11" i="17"/>
  <c r="AT11" i="17"/>
  <c r="AH11" i="17"/>
  <c r="AE11" i="17"/>
  <c r="Y11" i="17"/>
  <c r="P11" i="17"/>
  <c r="AX11" i="17"/>
  <c r="BF11" i="17"/>
  <c r="AJ11" i="17"/>
  <c r="AK11" i="17"/>
  <c r="AI11" i="17"/>
  <c r="Z11" i="17"/>
  <c r="AV11" i="17"/>
  <c r="AS11" i="17"/>
  <c r="AD11" i="17"/>
  <c r="AF11" i="17"/>
  <c r="AC11" i="17"/>
  <c r="V11" i="17"/>
  <c r="AP11" i="17"/>
  <c r="O11" i="17"/>
  <c r="W11" i="17"/>
  <c r="AG11" i="17"/>
  <c r="AN11" i="17"/>
  <c r="BH11" i="17"/>
  <c r="N11" i="17"/>
  <c r="M11" i="17"/>
  <c r="Q11" i="17"/>
  <c r="AU11" i="17"/>
  <c r="T11" i="17"/>
  <c r="S11" i="17"/>
  <c r="R11" i="17"/>
  <c r="AL11" i="17"/>
  <c r="AM11" i="1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7" i="27"/>
  <c r="C6" i="27"/>
  <c r="C5" i="27"/>
  <c r="C4"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6" i="27"/>
  <c r="B5" i="27"/>
  <c r="B4" i="27"/>
  <c r="DT50" i="27"/>
  <c r="DS50" i="27"/>
  <c r="DR50" i="27"/>
  <c r="DT49" i="27"/>
  <c r="DS49" i="27"/>
  <c r="DR49" i="27"/>
  <c r="DT48" i="27"/>
  <c r="DS48" i="27"/>
  <c r="DR48" i="27"/>
  <c r="DT47" i="27"/>
  <c r="DS47" i="27"/>
  <c r="DR47" i="27"/>
  <c r="DT46" i="27"/>
  <c r="DS46" i="27"/>
  <c r="DR46" i="27"/>
  <c r="DT45" i="27"/>
  <c r="DS45" i="27"/>
  <c r="DR45" i="27"/>
  <c r="DT44" i="27"/>
  <c r="DS44" i="27"/>
  <c r="DR44" i="27"/>
  <c r="DT43" i="27"/>
  <c r="DS43" i="27"/>
  <c r="DR43" i="27"/>
  <c r="DT42" i="27"/>
  <c r="DS42" i="27"/>
  <c r="DR42" i="27"/>
  <c r="BM103" i="27"/>
  <c r="BL103" i="27"/>
  <c r="BK103" i="27"/>
  <c r="BF103" i="27"/>
  <c r="BG103" i="27"/>
  <c r="BH103" i="27"/>
  <c r="BI103" i="27"/>
  <c r="BJ103" i="27"/>
  <c r="DT41" i="27"/>
  <c r="DS41" i="27"/>
  <c r="DR41" i="27"/>
  <c r="BM101" i="27"/>
  <c r="BL101" i="27"/>
  <c r="BK101" i="27"/>
  <c r="DT40" i="27"/>
  <c r="DS40" i="27"/>
  <c r="DR40" i="27"/>
  <c r="DT39" i="27"/>
  <c r="DS39" i="27"/>
  <c r="DR39" i="27"/>
  <c r="DT38" i="27"/>
  <c r="DS38" i="27"/>
  <c r="DR38" i="27"/>
  <c r="DT37" i="27"/>
  <c r="DS37" i="27"/>
  <c r="DR37" i="27"/>
  <c r="DT36" i="27"/>
  <c r="DS36" i="27"/>
  <c r="DR36" i="27"/>
  <c r="DT35" i="27"/>
  <c r="DS35" i="27"/>
  <c r="DR35" i="27"/>
  <c r="DT34" i="27"/>
  <c r="DS34" i="27"/>
  <c r="DR34" i="27"/>
  <c r="DT33" i="27"/>
  <c r="DS33" i="27"/>
  <c r="DR33" i="27"/>
  <c r="DT32" i="27"/>
  <c r="DS32" i="27"/>
  <c r="DR32" i="27"/>
  <c r="DT31" i="27"/>
  <c r="DS31" i="27"/>
  <c r="DR31" i="27"/>
  <c r="DT30" i="27"/>
  <c r="DS30" i="27"/>
  <c r="DR30" i="27"/>
  <c r="DT29" i="27"/>
  <c r="DS29" i="27"/>
  <c r="DR29" i="27"/>
  <c r="DT28" i="27"/>
  <c r="DS28" i="27"/>
  <c r="DR28" i="27"/>
  <c r="DT27" i="27"/>
  <c r="DS27" i="27"/>
  <c r="DR27" i="27"/>
  <c r="DT26" i="27"/>
  <c r="DS26" i="27"/>
  <c r="DR26" i="27"/>
  <c r="DT25" i="27"/>
  <c r="DS25" i="27"/>
  <c r="DR25" i="27"/>
  <c r="DT24" i="27"/>
  <c r="DS24" i="27"/>
  <c r="DR24" i="27"/>
  <c r="DT23" i="27"/>
  <c r="DS23" i="27"/>
  <c r="DR23" i="27"/>
  <c r="DT22" i="27"/>
  <c r="DS22" i="27"/>
  <c r="DR22" i="27"/>
  <c r="DT21" i="27"/>
  <c r="DS21" i="27"/>
  <c r="DR21" i="27"/>
  <c r="DT20" i="27"/>
  <c r="DS20" i="27"/>
  <c r="DR20" i="27"/>
  <c r="DT19" i="27"/>
  <c r="DS19" i="27"/>
  <c r="DR19" i="27"/>
  <c r="DT18" i="27"/>
  <c r="DS18" i="27"/>
  <c r="DR18" i="27"/>
  <c r="DT17" i="27"/>
  <c r="DS17" i="27"/>
  <c r="DR17" i="27"/>
  <c r="DT16" i="27"/>
  <c r="DS16" i="27"/>
  <c r="DR16" i="27"/>
  <c r="BM67" i="27"/>
  <c r="BL67" i="27"/>
  <c r="BK67" i="27"/>
  <c r="DT15" i="27"/>
  <c r="DS15" i="27"/>
  <c r="DR15" i="27"/>
  <c r="DT14" i="27"/>
  <c r="DS14" i="27"/>
  <c r="DR14" i="27"/>
  <c r="DT13" i="27"/>
  <c r="DS13" i="27"/>
  <c r="DR13" i="27"/>
  <c r="DT12" i="27"/>
  <c r="DS12" i="27"/>
  <c r="DR12" i="27"/>
  <c r="DT11" i="27"/>
  <c r="DS11" i="27"/>
  <c r="DR11" i="27"/>
  <c r="DT10" i="27"/>
  <c r="DS10" i="27"/>
  <c r="DR10" i="27"/>
  <c r="DT9" i="27"/>
  <c r="DS9" i="27"/>
  <c r="DR9" i="27"/>
  <c r="DT8" i="27"/>
  <c r="DS8" i="27"/>
  <c r="DR8" i="27"/>
  <c r="DT7" i="27"/>
  <c r="DS7" i="27"/>
  <c r="DR7" i="27"/>
  <c r="DT6" i="27"/>
  <c r="DS6" i="27"/>
  <c r="DR6" i="27"/>
  <c r="DT5" i="27"/>
  <c r="DS5" i="27"/>
  <c r="DR5" i="27"/>
  <c r="DT4" i="27"/>
  <c r="DS4" i="27"/>
  <c r="DR4" i="27"/>
  <c r="BL55" i="27"/>
  <c r="BL97" i="27"/>
  <c r="BM111" i="27"/>
  <c r="BM114" i="27"/>
  <c r="BM64" i="27"/>
  <c r="BJ89" i="27"/>
  <c r="BL92" i="27"/>
  <c r="BJ95" i="27"/>
  <c r="BK100" i="27"/>
  <c r="BL105" i="27"/>
  <c r="BK57" i="27"/>
  <c r="BK78" i="27"/>
  <c r="BK86" i="27"/>
  <c r="BM88" i="27"/>
  <c r="BM90" i="27"/>
  <c r="BM92" i="27"/>
  <c r="BM98" i="27"/>
  <c r="BL100" i="27"/>
  <c r="BK111" i="27"/>
  <c r="BL115" i="27"/>
  <c r="BM57" i="27"/>
  <c r="BL64" i="27"/>
  <c r="BM89" i="27"/>
  <c r="BQ89" i="27" s="1"/>
  <c r="BK98" i="27"/>
  <c r="BJ115" i="27"/>
  <c r="BM55" i="27"/>
  <c r="BK79" i="27"/>
  <c r="BL88" i="27"/>
  <c r="BL98" i="27"/>
  <c r="BK110" i="27"/>
  <c r="BK55" i="27"/>
  <c r="BL57" i="27"/>
  <c r="BK64" i="27"/>
  <c r="BM77" i="27"/>
  <c r="BK80" i="27"/>
  <c r="BL86" i="27"/>
  <c r="BL87" i="27"/>
  <c r="BL89" i="27"/>
  <c r="BK97" i="27"/>
  <c r="BJ98" i="27"/>
  <c r="BM100" i="27"/>
  <c r="BM107" i="27"/>
  <c r="BL111" i="27"/>
  <c r="BL114" i="27"/>
  <c r="BM115" i="27"/>
  <c r="BF101" i="27"/>
  <c r="BJ101" i="27"/>
  <c r="BJ67" i="27"/>
  <c r="BI67" i="27"/>
  <c r="BG101" i="27"/>
  <c r="BF95" i="27"/>
  <c r="T126" i="19"/>
  <c r="S126" i="19"/>
  <c r="V126" i="19"/>
  <c r="Y126" i="19" s="1"/>
  <c r="BM95" i="27"/>
  <c r="BH101" i="27"/>
  <c r="BH95" i="27"/>
  <c r="BI101" i="27"/>
  <c r="BG67" i="27"/>
  <c r="BH67" i="27"/>
  <c r="BG97" i="27"/>
  <c r="BI95" i="27"/>
  <c r="BF67" i="27"/>
  <c r="E137" i="22"/>
  <c r="E136" i="22"/>
  <c r="E25" i="22"/>
  <c r="E24" i="22"/>
  <c r="E23" i="22"/>
  <c r="E22" i="22"/>
  <c r="E21" i="22"/>
  <c r="E20" i="22"/>
  <c r="E19" i="22"/>
  <c r="E18" i="22"/>
  <c r="E17" i="22"/>
  <c r="E16" i="22"/>
  <c r="E15" i="22"/>
  <c r="E14" i="22"/>
  <c r="E12" i="22"/>
  <c r="E11" i="22"/>
  <c r="E10" i="22"/>
  <c r="E9" i="22"/>
  <c r="E8" i="22"/>
  <c r="E7" i="22"/>
  <c r="E6" i="22"/>
  <c r="E5" i="22"/>
  <c r="E3" i="22"/>
  <c r="BG30" i="17"/>
  <c r="AQ30" i="17"/>
  <c r="AA30" i="17"/>
  <c r="AB30" i="17"/>
  <c r="BA30" i="17"/>
  <c r="AR30" i="17"/>
  <c r="BE30" i="17"/>
  <c r="BB30" i="17"/>
  <c r="AZ30" i="17"/>
  <c r="AO30" i="17"/>
  <c r="AW30" i="17"/>
  <c r="BD30" i="17"/>
  <c r="X30" i="17"/>
  <c r="BC30" i="17"/>
  <c r="AY30" i="17"/>
  <c r="U30" i="17"/>
  <c r="AT30" i="17"/>
  <c r="AH30" i="17"/>
  <c r="AE30" i="17"/>
  <c r="Y30" i="17"/>
  <c r="P30" i="17"/>
  <c r="AX30" i="17"/>
  <c r="BF30" i="17"/>
  <c r="AJ30" i="17"/>
  <c r="AK30" i="17"/>
  <c r="AI30" i="17"/>
  <c r="Z30" i="17"/>
  <c r="AV30" i="17"/>
  <c r="AS30" i="17"/>
  <c r="AD30" i="17"/>
  <c r="AF30" i="17"/>
  <c r="AC30" i="17"/>
  <c r="V30" i="17"/>
  <c r="AP30" i="17"/>
  <c r="O30" i="17"/>
  <c r="W30" i="17"/>
  <c r="AG30" i="17"/>
  <c r="AN30" i="17"/>
  <c r="N30" i="17"/>
  <c r="M30" i="17"/>
  <c r="Q30" i="17"/>
  <c r="AU30" i="17"/>
  <c r="T30" i="17"/>
  <c r="S30" i="17"/>
  <c r="R30" i="17"/>
  <c r="AL30" i="17"/>
  <c r="AM30" i="17"/>
  <c r="S37" i="17"/>
  <c r="S36" i="17"/>
  <c r="S34" i="17"/>
  <c r="S33" i="17"/>
  <c r="S31" i="17"/>
  <c r="S28" i="17"/>
  <c r="S27" i="17"/>
  <c r="S26" i="17"/>
  <c r="S25" i="17"/>
  <c r="S24" i="17"/>
  <c r="S23" i="17"/>
  <c r="S3" i="17"/>
  <c r="BG37" i="17"/>
  <c r="AQ37" i="17"/>
  <c r="AA37" i="17"/>
  <c r="AB37" i="17"/>
  <c r="BA37" i="17"/>
  <c r="AR37" i="17"/>
  <c r="BE37" i="17"/>
  <c r="BB37" i="17"/>
  <c r="AZ37" i="17"/>
  <c r="AO37" i="17"/>
  <c r="BD37" i="17"/>
  <c r="X37" i="17"/>
  <c r="BC37" i="17"/>
  <c r="AY37" i="17"/>
  <c r="U37" i="17"/>
  <c r="AT37" i="17"/>
  <c r="AH37" i="17"/>
  <c r="AE37" i="17"/>
  <c r="Y37" i="17"/>
  <c r="P37" i="17"/>
  <c r="AX37" i="17"/>
  <c r="BF37" i="17"/>
  <c r="AJ37" i="17"/>
  <c r="AK37" i="17"/>
  <c r="AI37" i="17"/>
  <c r="Z37" i="17"/>
  <c r="AV37" i="17"/>
  <c r="AS37" i="17"/>
  <c r="AD37" i="17"/>
  <c r="AF37" i="17"/>
  <c r="AC37" i="17"/>
  <c r="V37" i="17"/>
  <c r="AP37" i="17"/>
  <c r="O37" i="17"/>
  <c r="W37" i="17"/>
  <c r="AG37" i="17"/>
  <c r="AN37" i="17"/>
  <c r="N37" i="17"/>
  <c r="M37" i="17"/>
  <c r="Q37" i="17"/>
  <c r="AU37" i="17"/>
  <c r="T37" i="17"/>
  <c r="BG36" i="17"/>
  <c r="AQ36" i="17"/>
  <c r="AA36" i="17"/>
  <c r="AB36" i="17"/>
  <c r="BA36" i="17"/>
  <c r="AR36" i="17"/>
  <c r="BE36" i="17"/>
  <c r="BB36" i="17"/>
  <c r="AZ36" i="17"/>
  <c r="AO36" i="17"/>
  <c r="AW36" i="17"/>
  <c r="BD36" i="17"/>
  <c r="X36" i="17"/>
  <c r="BC36" i="17"/>
  <c r="AY36" i="17"/>
  <c r="U36" i="17"/>
  <c r="AT36" i="17"/>
  <c r="AH36" i="17"/>
  <c r="AE36" i="17"/>
  <c r="Y36" i="17"/>
  <c r="P36" i="17"/>
  <c r="AX36" i="17"/>
  <c r="BF36" i="17"/>
  <c r="AJ36" i="17"/>
  <c r="AK36" i="17"/>
  <c r="AI36" i="17"/>
  <c r="Z36" i="17"/>
  <c r="AV36" i="17"/>
  <c r="AS36" i="17"/>
  <c r="AD36" i="17"/>
  <c r="AF36" i="17"/>
  <c r="AC36" i="17"/>
  <c r="V36" i="17"/>
  <c r="AP36" i="17"/>
  <c r="O36" i="17"/>
  <c r="W36" i="17"/>
  <c r="AG36" i="17"/>
  <c r="AN36" i="17"/>
  <c r="N36" i="17"/>
  <c r="M36" i="17"/>
  <c r="Q36" i="17"/>
  <c r="AU36" i="17"/>
  <c r="T36" i="17"/>
  <c r="BG34" i="17"/>
  <c r="AQ34" i="17"/>
  <c r="AA34" i="17"/>
  <c r="AB34" i="17"/>
  <c r="BA34" i="17"/>
  <c r="AR34" i="17"/>
  <c r="BE34" i="17"/>
  <c r="BB34" i="17"/>
  <c r="AZ34" i="17"/>
  <c r="AO34" i="17"/>
  <c r="AW34" i="17"/>
  <c r="BD34" i="17"/>
  <c r="X34" i="17"/>
  <c r="BC34" i="17"/>
  <c r="AY34" i="17"/>
  <c r="U34" i="17"/>
  <c r="AT34" i="17"/>
  <c r="AH34" i="17"/>
  <c r="AE34" i="17"/>
  <c r="Y34" i="17"/>
  <c r="P34" i="17"/>
  <c r="AX34" i="17"/>
  <c r="BF34" i="17"/>
  <c r="AJ34" i="17"/>
  <c r="AK34" i="17"/>
  <c r="AI34" i="17"/>
  <c r="Z34" i="17"/>
  <c r="AV34" i="17"/>
  <c r="AS34" i="17"/>
  <c r="AD34" i="17"/>
  <c r="AF34" i="17"/>
  <c r="AC34" i="17"/>
  <c r="V34" i="17"/>
  <c r="AP34" i="17"/>
  <c r="O34" i="17"/>
  <c r="W34" i="17"/>
  <c r="AG34" i="17"/>
  <c r="AN34" i="17"/>
  <c r="N34" i="17"/>
  <c r="M34" i="17"/>
  <c r="Q34" i="17"/>
  <c r="AU34" i="17"/>
  <c r="T34" i="17"/>
  <c r="BG33" i="17"/>
  <c r="AQ33" i="17"/>
  <c r="AA33" i="17"/>
  <c r="AB33" i="17"/>
  <c r="BA33" i="17"/>
  <c r="AR33" i="17"/>
  <c r="BE33" i="17"/>
  <c r="BB33" i="17"/>
  <c r="AZ33" i="17"/>
  <c r="AO33" i="17"/>
  <c r="AW33" i="17"/>
  <c r="BD33" i="17"/>
  <c r="X33" i="17"/>
  <c r="BC33" i="17"/>
  <c r="AY33" i="17"/>
  <c r="U33" i="17"/>
  <c r="AT33" i="17"/>
  <c r="AH33" i="17"/>
  <c r="AE33" i="17"/>
  <c r="Y33" i="17"/>
  <c r="P33" i="17"/>
  <c r="AX33" i="17"/>
  <c r="BF33" i="17"/>
  <c r="AJ33" i="17"/>
  <c r="AK33" i="17"/>
  <c r="AI33" i="17"/>
  <c r="Z33" i="17"/>
  <c r="AV33" i="17"/>
  <c r="AS33" i="17"/>
  <c r="AD33" i="17"/>
  <c r="AF33" i="17"/>
  <c r="AC33" i="17"/>
  <c r="V33" i="17"/>
  <c r="AP33" i="17"/>
  <c r="O33" i="17"/>
  <c r="W33" i="17"/>
  <c r="AG33" i="17"/>
  <c r="AN33" i="17"/>
  <c r="N33" i="17"/>
  <c r="M33" i="17"/>
  <c r="Q33" i="17"/>
  <c r="AU33" i="17"/>
  <c r="T33" i="17"/>
  <c r="BG31" i="17"/>
  <c r="AQ31" i="17"/>
  <c r="AA31" i="17"/>
  <c r="AB31" i="17"/>
  <c r="BA31" i="17"/>
  <c r="AR31" i="17"/>
  <c r="BE31" i="17"/>
  <c r="BB31" i="17"/>
  <c r="AZ31" i="17"/>
  <c r="AO31" i="17"/>
  <c r="AW31" i="17"/>
  <c r="BD31" i="17"/>
  <c r="X31" i="17"/>
  <c r="BC31" i="17"/>
  <c r="AY31" i="17"/>
  <c r="U31" i="17"/>
  <c r="AT31" i="17"/>
  <c r="AH31" i="17"/>
  <c r="AE31" i="17"/>
  <c r="Y31" i="17"/>
  <c r="P31" i="17"/>
  <c r="AX31" i="17"/>
  <c r="BF31" i="17"/>
  <c r="AJ31" i="17"/>
  <c r="AK31" i="17"/>
  <c r="AI31" i="17"/>
  <c r="Z31" i="17"/>
  <c r="AV31" i="17"/>
  <c r="AS31" i="17"/>
  <c r="AD31" i="17"/>
  <c r="AF31" i="17"/>
  <c r="AC31" i="17"/>
  <c r="V31" i="17"/>
  <c r="AP31" i="17"/>
  <c r="O31" i="17"/>
  <c r="W31" i="17"/>
  <c r="AG31" i="17"/>
  <c r="AN31" i="17"/>
  <c r="N31" i="17"/>
  <c r="M31" i="17"/>
  <c r="Q31" i="17"/>
  <c r="AU31" i="17"/>
  <c r="T31" i="17"/>
  <c r="BG28" i="17"/>
  <c r="AQ28" i="17"/>
  <c r="AA28" i="17"/>
  <c r="AB28" i="17"/>
  <c r="BA28" i="17"/>
  <c r="AR28" i="17"/>
  <c r="BE28" i="17"/>
  <c r="BB28" i="17"/>
  <c r="AZ28" i="17"/>
  <c r="AO28" i="17"/>
  <c r="AW28" i="17"/>
  <c r="BD28" i="17"/>
  <c r="X28" i="17"/>
  <c r="BC28" i="17"/>
  <c r="AY28" i="17"/>
  <c r="U28" i="17"/>
  <c r="AT28" i="17"/>
  <c r="AH28" i="17"/>
  <c r="AE28" i="17"/>
  <c r="Y28" i="17"/>
  <c r="P28" i="17"/>
  <c r="AX28" i="17"/>
  <c r="BF28" i="17"/>
  <c r="AJ28" i="17"/>
  <c r="AK28" i="17"/>
  <c r="AI28" i="17"/>
  <c r="Z28" i="17"/>
  <c r="AV28" i="17"/>
  <c r="AS28" i="17"/>
  <c r="AD28" i="17"/>
  <c r="AF28" i="17"/>
  <c r="AC28" i="17"/>
  <c r="V28" i="17"/>
  <c r="AP28" i="17"/>
  <c r="O28" i="17"/>
  <c r="W28" i="17"/>
  <c r="AG28" i="17"/>
  <c r="AN28" i="17"/>
  <c r="N28" i="17"/>
  <c r="M28" i="17"/>
  <c r="Q28" i="17"/>
  <c r="AU28" i="17"/>
  <c r="T28" i="17"/>
  <c r="BG27" i="17"/>
  <c r="AQ27" i="17"/>
  <c r="AA27" i="17"/>
  <c r="AB27" i="17"/>
  <c r="BA27" i="17"/>
  <c r="AR27" i="17"/>
  <c r="BE27" i="17"/>
  <c r="BB27" i="17"/>
  <c r="AZ27" i="17"/>
  <c r="AO27" i="17"/>
  <c r="AW27" i="17"/>
  <c r="BD27" i="17"/>
  <c r="X27" i="17"/>
  <c r="BC27" i="17"/>
  <c r="AY27" i="17"/>
  <c r="U27" i="17"/>
  <c r="AT27" i="17"/>
  <c r="AH27" i="17"/>
  <c r="AE27" i="17"/>
  <c r="Y27" i="17"/>
  <c r="P27" i="17"/>
  <c r="AX27" i="17"/>
  <c r="BF27" i="17"/>
  <c r="AJ27" i="17"/>
  <c r="AK27" i="17"/>
  <c r="AI27" i="17"/>
  <c r="Z27" i="17"/>
  <c r="AV27" i="17"/>
  <c r="AS27" i="17"/>
  <c r="AD27" i="17"/>
  <c r="AF27" i="17"/>
  <c r="AC27" i="17"/>
  <c r="V27" i="17"/>
  <c r="AP27" i="17"/>
  <c r="O27" i="17"/>
  <c r="W27" i="17"/>
  <c r="AG27" i="17"/>
  <c r="AN27" i="17"/>
  <c r="N27" i="17"/>
  <c r="M27" i="17"/>
  <c r="Q27" i="17"/>
  <c r="AU27" i="17"/>
  <c r="T27" i="17"/>
  <c r="BG26" i="17"/>
  <c r="AQ26" i="17"/>
  <c r="AA26" i="17"/>
  <c r="AB26" i="17"/>
  <c r="BA26" i="17"/>
  <c r="AR26" i="17"/>
  <c r="BE26" i="17"/>
  <c r="BB26" i="17"/>
  <c r="AZ26" i="17"/>
  <c r="AO26" i="17"/>
  <c r="AW26" i="17"/>
  <c r="BD26" i="17"/>
  <c r="X26" i="17"/>
  <c r="BC26" i="17"/>
  <c r="AY26" i="17"/>
  <c r="U26" i="17"/>
  <c r="AT26" i="17"/>
  <c r="AH26" i="17"/>
  <c r="AE26" i="17"/>
  <c r="Y26" i="17"/>
  <c r="P26" i="17"/>
  <c r="AX26" i="17"/>
  <c r="BF26" i="17"/>
  <c r="AJ26" i="17"/>
  <c r="AK26" i="17"/>
  <c r="AI26" i="17"/>
  <c r="Z26" i="17"/>
  <c r="AV26" i="17"/>
  <c r="AS26" i="17"/>
  <c r="AD26" i="17"/>
  <c r="AF26" i="17"/>
  <c r="AC26" i="17"/>
  <c r="V26" i="17"/>
  <c r="AP26" i="17"/>
  <c r="O26" i="17"/>
  <c r="W26" i="17"/>
  <c r="AG26" i="17"/>
  <c r="AN26" i="17"/>
  <c r="N26" i="17"/>
  <c r="M26" i="17"/>
  <c r="Q26" i="17"/>
  <c r="AU26" i="17"/>
  <c r="T26" i="17"/>
  <c r="BG25" i="17"/>
  <c r="AQ25" i="17"/>
  <c r="AA25" i="17"/>
  <c r="AB25" i="17"/>
  <c r="BA25" i="17"/>
  <c r="AR25" i="17"/>
  <c r="BE25" i="17"/>
  <c r="BB25" i="17"/>
  <c r="AZ25" i="17"/>
  <c r="AO25" i="17"/>
  <c r="AW25" i="17"/>
  <c r="BD25" i="17"/>
  <c r="X25" i="17"/>
  <c r="BC25" i="17"/>
  <c r="AY25" i="17"/>
  <c r="U25" i="17"/>
  <c r="AT25" i="17"/>
  <c r="AH25" i="17"/>
  <c r="AE25" i="17"/>
  <c r="Y25" i="17"/>
  <c r="P25" i="17"/>
  <c r="AX25" i="17"/>
  <c r="BF25" i="17"/>
  <c r="AJ25" i="17"/>
  <c r="AK25" i="17"/>
  <c r="AI25" i="17"/>
  <c r="Z25" i="17"/>
  <c r="AV25" i="17"/>
  <c r="AS25" i="17"/>
  <c r="AD25" i="17"/>
  <c r="AF25" i="17"/>
  <c r="AC25" i="17"/>
  <c r="V25" i="17"/>
  <c r="AP25" i="17"/>
  <c r="O25" i="17"/>
  <c r="W25" i="17"/>
  <c r="AG25" i="17"/>
  <c r="AN25" i="17"/>
  <c r="N25" i="17"/>
  <c r="M25" i="17"/>
  <c r="Q25" i="17"/>
  <c r="AU25" i="17"/>
  <c r="T25" i="17"/>
  <c r="BG24" i="17"/>
  <c r="AQ24" i="17"/>
  <c r="AA24" i="17"/>
  <c r="AB24" i="17"/>
  <c r="BA24" i="17"/>
  <c r="AR24" i="17"/>
  <c r="BE24" i="17"/>
  <c r="BB24" i="17"/>
  <c r="AZ24" i="17"/>
  <c r="AO24" i="17"/>
  <c r="AW24" i="17"/>
  <c r="BD24" i="17"/>
  <c r="X24" i="17"/>
  <c r="BC24" i="17"/>
  <c r="AY24" i="17"/>
  <c r="U24" i="17"/>
  <c r="AT24" i="17"/>
  <c r="AH24" i="17"/>
  <c r="AE24" i="17"/>
  <c r="Y24" i="17"/>
  <c r="P24" i="17"/>
  <c r="AX24" i="17"/>
  <c r="BF24" i="17"/>
  <c r="AJ24" i="17"/>
  <c r="AK24" i="17"/>
  <c r="AI24" i="17"/>
  <c r="Z24" i="17"/>
  <c r="AV24" i="17"/>
  <c r="AS24" i="17"/>
  <c r="AD24" i="17"/>
  <c r="AF24" i="17"/>
  <c r="AC24" i="17"/>
  <c r="V24" i="17"/>
  <c r="AP24" i="17"/>
  <c r="O24" i="17"/>
  <c r="W24" i="17"/>
  <c r="AG24" i="17"/>
  <c r="AN24" i="17"/>
  <c r="N24" i="17"/>
  <c r="M24" i="17"/>
  <c r="Q24" i="17"/>
  <c r="AU24" i="17"/>
  <c r="T24" i="17"/>
  <c r="BG23" i="17"/>
  <c r="AQ23" i="17"/>
  <c r="AA23" i="17"/>
  <c r="AB23" i="17"/>
  <c r="BA23" i="17"/>
  <c r="AR23" i="17"/>
  <c r="BE23" i="17"/>
  <c r="BB23" i="17"/>
  <c r="AZ23" i="17"/>
  <c r="AO23" i="17"/>
  <c r="AW23" i="17"/>
  <c r="BD23" i="17"/>
  <c r="X23" i="17"/>
  <c r="BC23" i="17"/>
  <c r="AY23" i="17"/>
  <c r="U23" i="17"/>
  <c r="AT23" i="17"/>
  <c r="AH23" i="17"/>
  <c r="AE23" i="17"/>
  <c r="Y23" i="17"/>
  <c r="P23" i="17"/>
  <c r="AX23" i="17"/>
  <c r="BF23" i="17"/>
  <c r="AJ23" i="17"/>
  <c r="AK23" i="17"/>
  <c r="AI23" i="17"/>
  <c r="Z23" i="17"/>
  <c r="AV23" i="17"/>
  <c r="AS23" i="17"/>
  <c r="AD23" i="17"/>
  <c r="AF23" i="17"/>
  <c r="AC23" i="17"/>
  <c r="V23" i="17"/>
  <c r="AP23" i="17"/>
  <c r="O23" i="17"/>
  <c r="W23" i="17"/>
  <c r="AG23" i="17"/>
  <c r="AN23" i="17"/>
  <c r="N23" i="17"/>
  <c r="M23" i="17"/>
  <c r="Q23" i="17"/>
  <c r="AU23" i="17"/>
  <c r="T23" i="17"/>
  <c r="BG3" i="17"/>
  <c r="AQ3" i="17"/>
  <c r="AA3" i="17"/>
  <c r="AB3" i="17"/>
  <c r="BA3" i="17"/>
  <c r="AR3" i="17"/>
  <c r="BE3" i="17"/>
  <c r="BB3" i="17"/>
  <c r="AZ3" i="17"/>
  <c r="AO3" i="17"/>
  <c r="AW3" i="17"/>
  <c r="BD3" i="17"/>
  <c r="X3" i="17"/>
  <c r="BC3" i="17"/>
  <c r="AY3" i="17"/>
  <c r="U3" i="17"/>
  <c r="AT3" i="17"/>
  <c r="AH3" i="17"/>
  <c r="AE3" i="17"/>
  <c r="Y3" i="17"/>
  <c r="P3" i="17"/>
  <c r="AX3" i="17"/>
  <c r="BF3" i="17"/>
  <c r="AJ3" i="17"/>
  <c r="AK3" i="17"/>
  <c r="AI3" i="17"/>
  <c r="Z3" i="17"/>
  <c r="AV3" i="17"/>
  <c r="AS3" i="17"/>
  <c r="AD3" i="17"/>
  <c r="AF3" i="17"/>
  <c r="AC3" i="17"/>
  <c r="V3" i="17"/>
  <c r="AP3" i="17"/>
  <c r="O3" i="17"/>
  <c r="W3" i="17"/>
  <c r="AG3" i="17"/>
  <c r="AN3" i="17"/>
  <c r="N3" i="17"/>
  <c r="M3" i="17"/>
  <c r="Q3" i="17"/>
  <c r="AU3" i="17"/>
  <c r="T3" i="17"/>
  <c r="R37" i="17"/>
  <c r="AL37" i="17"/>
  <c r="R36" i="17"/>
  <c r="AL36" i="17"/>
  <c r="R34" i="17"/>
  <c r="AL34" i="17"/>
  <c r="R33" i="17"/>
  <c r="AL33" i="17"/>
  <c r="R31" i="17"/>
  <c r="AL31" i="17"/>
  <c r="R28" i="17"/>
  <c r="AL28" i="17"/>
  <c r="R27" i="17"/>
  <c r="AL27" i="17"/>
  <c r="R26" i="17"/>
  <c r="AL26" i="17"/>
  <c r="R25" i="17"/>
  <c r="AL25" i="17"/>
  <c r="R24" i="17"/>
  <c r="AL24" i="17"/>
  <c r="R23" i="17"/>
  <c r="AL23" i="17"/>
  <c r="R3" i="17"/>
  <c r="AL3" i="17"/>
  <c r="BH33" i="17"/>
  <c r="BH34" i="17"/>
  <c r="AM36" i="17"/>
  <c r="AM31" i="17"/>
  <c r="AD51" i="19"/>
  <c r="AD50" i="19"/>
  <c r="AD49" i="19"/>
  <c r="AD48" i="19"/>
  <c r="AD47" i="19"/>
  <c r="AD46" i="19"/>
  <c r="AD45" i="19"/>
  <c r="AD44" i="19"/>
  <c r="AD43" i="19"/>
  <c r="AD42" i="19"/>
  <c r="AD41" i="19"/>
  <c r="AD40" i="19"/>
  <c r="AD39" i="19"/>
  <c r="AD38" i="19"/>
  <c r="AD37" i="19"/>
  <c r="AD36" i="19"/>
  <c r="AD35" i="19"/>
  <c r="AD34" i="19"/>
  <c r="AD33" i="19"/>
  <c r="AD32" i="19"/>
  <c r="AD31" i="19"/>
  <c r="AD30" i="19"/>
  <c r="AD29" i="19"/>
  <c r="AD28" i="19"/>
  <c r="AD27" i="19"/>
  <c r="AD26" i="19"/>
  <c r="AD25" i="19"/>
  <c r="AD24" i="19"/>
  <c r="AD23" i="19"/>
  <c r="AD22" i="19"/>
  <c r="AD21" i="19"/>
  <c r="AD20" i="19"/>
  <c r="AD19" i="19"/>
  <c r="AD18" i="19"/>
  <c r="AD17" i="19"/>
  <c r="AD16" i="19"/>
  <c r="AD15" i="19"/>
  <c r="AD14" i="19"/>
  <c r="AD13" i="19"/>
  <c r="AD12" i="19"/>
  <c r="AD11" i="19"/>
  <c r="AD10" i="19"/>
  <c r="AD9" i="19"/>
  <c r="AD8" i="19"/>
  <c r="AD7" i="19"/>
  <c r="AD6" i="19"/>
  <c r="AD5" i="19"/>
  <c r="AD4" i="19"/>
  <c r="N67" i="17"/>
  <c r="J40" i="28"/>
  <c r="S40" i="28" s="1"/>
  <c r="BI115" i="27"/>
  <c r="BH55" i="27"/>
  <c r="BJ55" i="27"/>
  <c r="X138" i="19"/>
  <c r="BJ88" i="27"/>
  <c r="S117" i="19"/>
  <c r="BI64" i="27"/>
  <c r="W94" i="19"/>
  <c r="BI114" i="27"/>
  <c r="S141" i="19"/>
  <c r="BF89" i="27"/>
  <c r="BI98" i="27"/>
  <c r="BG98" i="27"/>
  <c r="U138" i="19"/>
  <c r="X141" i="19"/>
  <c r="U141" i="19"/>
  <c r="X142" i="19"/>
  <c r="AA142" i="19" s="1"/>
  <c r="V117" i="19"/>
  <c r="T94" i="19"/>
  <c r="S127" i="19"/>
  <c r="X117" i="19"/>
  <c r="AA117" i="19" s="1"/>
  <c r="U94" i="19"/>
  <c r="X94" i="19"/>
  <c r="BJ57" i="27"/>
  <c r="BJ64" i="27"/>
  <c r="BI111" i="27"/>
  <c r="BI57" i="27"/>
  <c r="BH111" i="27"/>
  <c r="BH64" i="27"/>
  <c r="BH57" i="27"/>
  <c r="BF64" i="27"/>
  <c r="BG114" i="27"/>
  <c r="BF111" i="27"/>
  <c r="BG57" i="27"/>
  <c r="BF57" i="27"/>
  <c r="BF98" i="27"/>
  <c r="BG1" i="17"/>
  <c r="BF1" i="17"/>
  <c r="BE1" i="17"/>
  <c r="BD1" i="17"/>
  <c r="BC1" i="17"/>
  <c r="BB1" i="17"/>
  <c r="BA1" i="17"/>
  <c r="AZ1" i="17"/>
  <c r="AY1" i="17"/>
  <c r="AX1" i="17"/>
  <c r="AW1" i="17"/>
  <c r="AV1" i="17"/>
  <c r="AT1" i="17"/>
  <c r="AR1" i="17"/>
  <c r="AQ1" i="17"/>
  <c r="AO1" i="17"/>
  <c r="AH1" i="17"/>
  <c r="AE1" i="17"/>
  <c r="AB1" i="17"/>
  <c r="AA1" i="17"/>
  <c r="Z1" i="17"/>
  <c r="Y1" i="17"/>
  <c r="X1" i="17"/>
  <c r="V1" i="17"/>
  <c r="U1" i="17"/>
  <c r="P1" i="17"/>
  <c r="AM37" i="17"/>
  <c r="AM34" i="17"/>
  <c r="AM33" i="17"/>
  <c r="AM28" i="17"/>
  <c r="AM27" i="17"/>
  <c r="AM26" i="17"/>
  <c r="AM25" i="17"/>
  <c r="AM24" i="17"/>
  <c r="AM23" i="17"/>
  <c r="AM3" i="17"/>
  <c r="AP1" i="17"/>
  <c r="AS1" i="17"/>
  <c r="AG1" i="17"/>
  <c r="AF1" i="17"/>
  <c r="AD1" i="17"/>
  <c r="AC1" i="17"/>
  <c r="W1" i="17"/>
  <c r="N1" i="17"/>
  <c r="AK1" i="17"/>
  <c r="AJ1" i="17"/>
  <c r="AI1" i="17"/>
  <c r="O1" i="17"/>
  <c r="M1" i="17"/>
  <c r="AN1" i="17"/>
  <c r="Q1" i="17"/>
  <c r="AU1" i="17"/>
  <c r="T1" i="17"/>
  <c r="S1" i="17"/>
  <c r="BH1" i="17"/>
  <c r="R1" i="17"/>
  <c r="AL1" i="17"/>
  <c r="AM1" i="17"/>
  <c r="L40" i="28"/>
  <c r="U40" i="28" s="1"/>
  <c r="O40" i="28"/>
  <c r="X40" i="28" s="1"/>
  <c r="L21" i="28"/>
  <c r="U21" i="28" s="1"/>
  <c r="AC117" i="17"/>
  <c r="Q26" i="19"/>
  <c r="L51" i="19"/>
  <c r="AG117" i="17"/>
  <c r="V118" i="19"/>
  <c r="Y118" i="19" s="1"/>
  <c r="S118" i="19"/>
  <c r="BG89" i="27"/>
  <c r="W118" i="19"/>
  <c r="BH89" i="27"/>
  <c r="W141" i="19"/>
  <c r="Z141" i="19" s="1"/>
  <c r="T141" i="19"/>
  <c r="BH114" i="27"/>
  <c r="BI88" i="27"/>
  <c r="U117" i="19"/>
  <c r="V138" i="19"/>
  <c r="Y138" i="19" s="1"/>
  <c r="S138" i="19"/>
  <c r="BG111" i="27"/>
  <c r="Y117" i="17"/>
  <c r="V94" i="19"/>
  <c r="Y94" i="19" s="1"/>
  <c r="S94" i="19"/>
  <c r="V129" i="19"/>
  <c r="BF55" i="27"/>
  <c r="X85" i="19"/>
  <c r="AA85" i="19" s="1"/>
  <c r="J44" i="28"/>
  <c r="S44" i="28" s="1"/>
  <c r="I40" i="28"/>
  <c r="R40" i="28" s="1"/>
  <c r="P40" i="28"/>
  <c r="Y40" i="28" s="1"/>
  <c r="BH97" i="27"/>
  <c r="W126" i="19"/>
  <c r="Q19" i="19"/>
  <c r="AB9" i="17" s="1"/>
  <c r="Q23" i="19"/>
  <c r="AF9" i="17" s="1"/>
  <c r="Q27" i="19"/>
  <c r="X126" i="19"/>
  <c r="AA126" i="19" s="1"/>
  <c r="U126" i="19"/>
  <c r="BI97" i="27"/>
  <c r="L31" i="28"/>
  <c r="U31" i="28" s="1"/>
  <c r="BF97" i="27"/>
  <c r="BK88" i="27"/>
  <c r="AF123" i="17"/>
  <c r="W138" i="19"/>
  <c r="AA138" i="19"/>
  <c r="T138" i="19"/>
  <c r="U142" i="19"/>
  <c r="V141" i="19"/>
  <c r="BJ114" i="27"/>
  <c r="N141" i="19"/>
  <c r="X129" i="19"/>
  <c r="AA129" i="19" s="1"/>
  <c r="S129" i="19"/>
  <c r="BG100" i="27"/>
  <c r="U127" i="19"/>
  <c r="X127" i="19"/>
  <c r="V127" i="19"/>
  <c r="Y127" i="19" s="1"/>
  <c r="N126" i="19"/>
  <c r="BG95" i="27"/>
  <c r="T124" i="19"/>
  <c r="S124" i="19"/>
  <c r="AA124" i="19"/>
  <c r="BI92" i="27"/>
  <c r="U121" i="19"/>
  <c r="X121" i="19"/>
  <c r="AA121" i="19" s="1"/>
  <c r="T121" i="19"/>
  <c r="BK92" i="27"/>
  <c r="BJ92" i="27"/>
  <c r="BG88" i="27"/>
  <c r="T118" i="19"/>
  <c r="BF88" i="27"/>
  <c r="BI89" i="27"/>
  <c r="X118" i="19"/>
  <c r="AA118" i="19" s="1"/>
  <c r="AA94" i="19"/>
  <c r="BG64" i="27"/>
  <c r="N94" i="19"/>
  <c r="W85" i="19"/>
  <c r="Z85" i="19" s="1"/>
  <c r="BG55" i="27"/>
  <c r="U85" i="19"/>
  <c r="BI55" i="27"/>
  <c r="T85" i="19"/>
  <c r="N121" i="19"/>
  <c r="N129" i="19"/>
  <c r="N118" i="19"/>
  <c r="N127" i="19"/>
  <c r="U111" i="19"/>
  <c r="BG99" i="27"/>
  <c r="S115" i="19"/>
  <c r="V115" i="19"/>
  <c r="Y115" i="19" s="1"/>
  <c r="BG86" i="27"/>
  <c r="BI86" i="27"/>
  <c r="X115" i="19"/>
  <c r="AA115" i="19" s="1"/>
  <c r="U115" i="19"/>
  <c r="W121" i="19"/>
  <c r="Z121" i="19" s="1"/>
  <c r="BH92" i="27"/>
  <c r="U129" i="19"/>
  <c r="BI100" i="27"/>
  <c r="BK105" i="27"/>
  <c r="S142" i="19"/>
  <c r="V142" i="19"/>
  <c r="Y142" i="19" s="1"/>
  <c r="BG115" i="27"/>
  <c r="S85" i="19"/>
  <c r="V85" i="19"/>
  <c r="Y85" i="19" s="1"/>
  <c r="BJ97" i="27"/>
  <c r="BF115" i="27"/>
  <c r="BF114" i="27"/>
  <c r="T142" i="19"/>
  <c r="W142" i="19"/>
  <c r="BH115" i="27"/>
  <c r="BF100" i="27"/>
  <c r="W129" i="19"/>
  <c r="Z129" i="19" s="1"/>
  <c r="BH100" i="27"/>
  <c r="T129" i="19"/>
  <c r="BH98" i="27"/>
  <c r="W127" i="19"/>
  <c r="T127" i="19"/>
  <c r="S121" i="19"/>
  <c r="V121" i="19"/>
  <c r="BG92" i="27"/>
  <c r="BF92" i="27"/>
  <c r="T117" i="19"/>
  <c r="W117" i="19"/>
  <c r="Z117" i="19" s="1"/>
  <c r="BH88" i="27"/>
  <c r="BF86" i="27"/>
  <c r="T115" i="19"/>
  <c r="BH86" i="27"/>
  <c r="W115" i="19"/>
  <c r="Z115" i="19" s="1"/>
  <c r="BB59" i="17"/>
  <c r="AP61" i="17"/>
  <c r="T66" i="17"/>
  <c r="AC68" i="17"/>
  <c r="AG61" i="17"/>
  <c r="AK63" i="17"/>
  <c r="AY67" i="17"/>
  <c r="BC56" i="17"/>
  <c r="BC66" i="17"/>
  <c r="AG65" i="17"/>
  <c r="AQ65" i="17"/>
  <c r="O67" i="17"/>
  <c r="BG56" i="17"/>
  <c r="BC63" i="17"/>
  <c r="AG70" i="17"/>
  <c r="U69" i="17"/>
  <c r="O61" i="17"/>
  <c r="O57" i="17"/>
  <c r="U68" i="17"/>
  <c r="U71" i="17"/>
  <c r="U70" i="17"/>
  <c r="Y65" i="17"/>
  <c r="Y71" i="17"/>
  <c r="Y69" i="17"/>
  <c r="AC70" i="17"/>
  <c r="AC72" i="17"/>
  <c r="AG69" i="17"/>
  <c r="AG62" i="17"/>
  <c r="AG57" i="17"/>
  <c r="AG72" i="17"/>
  <c r="AG68" i="17"/>
  <c r="AG59" i="17"/>
  <c r="AG56" i="17"/>
  <c r="AG64" i="17"/>
  <c r="AG66" i="17"/>
  <c r="AG39" i="17"/>
  <c r="AG71" i="17"/>
  <c r="AG67" i="17"/>
  <c r="AK59" i="17"/>
  <c r="AK65" i="17"/>
  <c r="AK57" i="17"/>
  <c r="AM70" i="17"/>
  <c r="AM63" i="17"/>
  <c r="AQ67" i="17"/>
  <c r="AQ61" i="17"/>
  <c r="AU65" i="17"/>
  <c r="AU70" i="17"/>
  <c r="AY39" i="17"/>
  <c r="AY63" i="17"/>
  <c r="AY70" i="17"/>
  <c r="AY59" i="17"/>
  <c r="AY61" i="17"/>
  <c r="AY69" i="17"/>
  <c r="AY57" i="17"/>
  <c r="AY72" i="17"/>
  <c r="AY66" i="17"/>
  <c r="AY71" i="17"/>
  <c r="BC62" i="17"/>
  <c r="BC71" i="17"/>
  <c r="BC69" i="17"/>
  <c r="BC67" i="17"/>
  <c r="BC59" i="17"/>
  <c r="BC61" i="17"/>
  <c r="BC68" i="17"/>
  <c r="BC39" i="17"/>
  <c r="BC65" i="17"/>
  <c r="BC72" i="17"/>
  <c r="BC64" i="17"/>
  <c r="BG39" i="17"/>
  <c r="BG69" i="17"/>
  <c r="BG65" i="17"/>
  <c r="BG59" i="17"/>
  <c r="BG72" i="17"/>
  <c r="BG68" i="17"/>
  <c r="BG64" i="17"/>
  <c r="BG57" i="17"/>
  <c r="BG71" i="17"/>
  <c r="BG62" i="17"/>
  <c r="BG70" i="17"/>
  <c r="BG61" i="17"/>
  <c r="AY65" i="17"/>
  <c r="BG66" i="17"/>
  <c r="BC57" i="17"/>
  <c r="AY68" i="17"/>
  <c r="BG67" i="17"/>
  <c r="BI79" i="27"/>
  <c r="L47" i="19"/>
  <c r="I35" i="28"/>
  <c r="L18" i="28"/>
  <c r="U18" i="28" s="1"/>
  <c r="I32" i="28"/>
  <c r="L27" i="19"/>
  <c r="K21" i="28"/>
  <c r="T21" i="28" s="1"/>
  <c r="BM110" i="27"/>
  <c r="L32" i="19"/>
  <c r="BH40" i="27"/>
  <c r="BH45" i="27"/>
  <c r="T134" i="19" s="1"/>
  <c r="EF49" i="27"/>
  <c r="EI49" i="27" s="1"/>
  <c r="M21" i="28"/>
  <c r="V21" i="28" s="1"/>
  <c r="L45" i="28"/>
  <c r="U45" i="28" s="1"/>
  <c r="EB21" i="27"/>
  <c r="EM21" i="27" s="1"/>
  <c r="K14" i="28"/>
  <c r="T14" i="28" s="1"/>
  <c r="I21" i="28"/>
  <c r="BJ90" i="27"/>
  <c r="BM84" i="27"/>
  <c r="I24" i="28"/>
  <c r="J21" i="28"/>
  <c r="S21" i="28" s="1"/>
  <c r="N21" i="28"/>
  <c r="W21" i="28" s="1"/>
  <c r="L48" i="19"/>
  <c r="BJ21" i="27"/>
  <c r="L22" i="19"/>
  <c r="J24" i="28"/>
  <c r="S24" i="28" s="1"/>
  <c r="L29" i="28"/>
  <c r="U29" i="28" s="1"/>
  <c r="BJ60" i="27"/>
  <c r="BM74" i="27"/>
  <c r="Q14" i="19"/>
  <c r="W9" i="17" s="1"/>
  <c r="L16" i="19"/>
  <c r="Q22" i="19"/>
  <c r="BK102" i="27"/>
  <c r="BJ112" i="27"/>
  <c r="L50" i="19"/>
  <c r="X109" i="19"/>
  <c r="M24" i="28"/>
  <c r="V24" i="28" s="1"/>
  <c r="BM94" i="27"/>
  <c r="BL61" i="27"/>
  <c r="BM104" i="27"/>
  <c r="BM91" i="27"/>
  <c r="BL82" i="27"/>
  <c r="BM72" i="27"/>
  <c r="J38" i="28"/>
  <c r="S38" i="28" s="1"/>
  <c r="EG46" i="27"/>
  <c r="EH46" i="27" s="1"/>
  <c r="L24" i="28"/>
  <c r="U24" i="28" s="1"/>
  <c r="I12" i="28"/>
  <c r="R12" i="28" s="1"/>
  <c r="BL53" i="27"/>
  <c r="BL81" i="27"/>
  <c r="BM112" i="27"/>
  <c r="BJ71" i="27"/>
  <c r="BM54" i="27"/>
  <c r="N24" i="28"/>
  <c r="W24" i="28" s="1"/>
  <c r="BJ24" i="27"/>
  <c r="BH24" i="27"/>
  <c r="DP24" i="27" s="1"/>
  <c r="BI26" i="27"/>
  <c r="EC26" i="27"/>
  <c r="EL26" i="27" s="1"/>
  <c r="BF85" i="27"/>
  <c r="K28" i="28"/>
  <c r="T28" i="28" s="1"/>
  <c r="L43" i="19"/>
  <c r="K45" i="28"/>
  <c r="T45" i="28" s="1"/>
  <c r="BL73" i="27"/>
  <c r="L4" i="19"/>
  <c r="M108" i="17" s="1"/>
  <c r="Q9" i="19"/>
  <c r="I5" i="28"/>
  <c r="R5" i="28" s="1"/>
  <c r="N5" i="28"/>
  <c r="BM79" i="27"/>
  <c r="BK53" i="27"/>
  <c r="BJ50" i="27"/>
  <c r="BJ9" i="27"/>
  <c r="BJ59" i="27" s="1"/>
  <c r="ED29" i="27"/>
  <c r="EK29" i="27" s="1"/>
  <c r="BK40" i="27"/>
  <c r="EE40" i="27" s="1"/>
  <c r="EJ40" i="27" s="1"/>
  <c r="J12" i="28"/>
  <c r="S12" i="28" s="1"/>
  <c r="I4" i="28"/>
  <c r="R4" i="28" s="1"/>
  <c r="BL59" i="27"/>
  <c r="J33" i="28"/>
  <c r="S33" i="28" s="1"/>
  <c r="U109" i="19"/>
  <c r="X111" i="19"/>
  <c r="K40" i="28"/>
  <c r="T40" i="28" s="1"/>
  <c r="L30" i="19"/>
  <c r="M40" i="28"/>
  <c r="V40" i="28" s="1"/>
  <c r="I23" i="28"/>
  <c r="N42" i="28"/>
  <c r="W42" i="28" s="1"/>
  <c r="BL84" i="27"/>
  <c r="BK71" i="27"/>
  <c r="BM58" i="27"/>
  <c r="BM80" i="27"/>
  <c r="BJ96" i="27"/>
  <c r="BK69" i="27"/>
  <c r="K9" i="28"/>
  <c r="T9" i="28" s="1"/>
  <c r="BI90" i="27"/>
  <c r="BI80" i="27"/>
  <c r="BI82" i="27"/>
  <c r="AU117" i="17"/>
  <c r="K33" i="28"/>
  <c r="T33" i="28" s="1"/>
  <c r="L28" i="19"/>
  <c r="N40" i="28"/>
  <c r="W40" i="28" s="1"/>
  <c r="K4" i="28"/>
  <c r="T4" i="28" s="1"/>
  <c r="L18" i="19"/>
  <c r="I42" i="28"/>
  <c r="R42" i="28" s="1"/>
  <c r="L20" i="28"/>
  <c r="U20" i="28" s="1"/>
  <c r="J45" i="28"/>
  <c r="L30" i="28"/>
  <c r="U30" i="28" s="1"/>
  <c r="BK83" i="27"/>
  <c r="BL75" i="27"/>
  <c r="BM109" i="27"/>
  <c r="K38" i="28"/>
  <c r="T38" i="28" s="1"/>
  <c r="L41" i="19"/>
  <c r="L35" i="19"/>
  <c r="DK42" i="27"/>
  <c r="DM42" i="27" s="1"/>
  <c r="DN42" i="27" s="1"/>
  <c r="BI13" i="27"/>
  <c r="U93" i="19" s="1"/>
  <c r="EE18" i="27"/>
  <c r="EJ18" i="27" s="1"/>
  <c r="BK70" i="27"/>
  <c r="EB23" i="27"/>
  <c r="EM23" i="27" s="1"/>
  <c r="T104" i="19"/>
  <c r="DP23" i="27"/>
  <c r="W104" i="19"/>
  <c r="BH7" i="27"/>
  <c r="M7" i="28"/>
  <c r="V7" i="28" s="1"/>
  <c r="I7" i="28"/>
  <c r="K7" i="28"/>
  <c r="T7" i="28" s="1"/>
  <c r="N7" i="28"/>
  <c r="W7" i="28" s="1"/>
  <c r="J7" i="28"/>
  <c r="S7" i="28" s="1"/>
  <c r="L7" i="28"/>
  <c r="U7" i="28" s="1"/>
  <c r="X119" i="19"/>
  <c r="I10" i="28"/>
  <c r="R10" i="28" s="1"/>
  <c r="M20" i="28"/>
  <c r="V20" i="28" s="1"/>
  <c r="I14" i="28"/>
  <c r="R14" i="28" s="1"/>
  <c r="I6" i="28"/>
  <c r="R6" i="28" s="1"/>
  <c r="DK50" i="27"/>
  <c r="DM50" i="27" s="1"/>
  <c r="DN50" i="27" s="1"/>
  <c r="J10" i="28"/>
  <c r="S10" i="28" s="1"/>
  <c r="BJ94" i="27"/>
  <c r="BJ79" i="27"/>
  <c r="L6" i="28"/>
  <c r="U6" i="28" s="1"/>
  <c r="M117" i="17"/>
  <c r="BJ20" i="27"/>
  <c r="BJ72" i="27" s="1"/>
  <c r="BI45" i="27"/>
  <c r="DK8" i="27"/>
  <c r="DK20" i="27"/>
  <c r="DK24" i="27"/>
  <c r="DK28" i="27"/>
  <c r="BJ75" i="27"/>
  <c r="U119" i="19"/>
  <c r="BH73" i="27"/>
  <c r="L24" i="19"/>
  <c r="M23" i="28"/>
  <c r="V23" i="28" s="1"/>
  <c r="J46" i="28"/>
  <c r="S46" i="28" s="1"/>
  <c r="BK108" i="27"/>
  <c r="BM85" i="27"/>
  <c r="BM96" i="27"/>
  <c r="BK68" i="27"/>
  <c r="T102" i="19"/>
  <c r="W102" i="19"/>
  <c r="K6" i="28"/>
  <c r="T6" i="28" s="1"/>
  <c r="N44" i="28"/>
  <c r="W44" i="28" s="1"/>
  <c r="BK76" i="27"/>
  <c r="BJ109" i="27"/>
  <c r="I20" i="28"/>
  <c r="R20" i="28" s="1"/>
  <c r="L23" i="28"/>
  <c r="U23" i="28" s="1"/>
  <c r="I46" i="28"/>
  <c r="R46" i="28" s="1"/>
  <c r="K23" i="28"/>
  <c r="T23" i="28" s="1"/>
  <c r="BJ78" i="27"/>
  <c r="BM87" i="27"/>
  <c r="I33" i="28"/>
  <c r="R33" i="28" s="1"/>
  <c r="L37" i="19"/>
  <c r="M123" i="17"/>
  <c r="EG9" i="27"/>
  <c r="EH9" i="27" s="1"/>
  <c r="BG6" i="27"/>
  <c r="EA6" i="27" s="1"/>
  <c r="EN6" i="27" s="1"/>
  <c r="BF23" i="27"/>
  <c r="DK5" i="27"/>
  <c r="DK33" i="27"/>
  <c r="DM33" i="27" s="1"/>
  <c r="DN33" i="27" s="1"/>
  <c r="J23" i="28"/>
  <c r="S23" i="28" s="1"/>
  <c r="BM82" i="27"/>
  <c r="BL72" i="27"/>
  <c r="BL80" i="27"/>
  <c r="L33" i="28"/>
  <c r="U33" i="28" s="1"/>
  <c r="EG21" i="27"/>
  <c r="EH21" i="27" s="1"/>
  <c r="BH33" i="27"/>
  <c r="BI40" i="27"/>
  <c r="EC40" i="27" s="1"/>
  <c r="AT59" i="17"/>
  <c r="X66" i="17"/>
  <c r="AP71" i="17"/>
  <c r="S58" i="17"/>
  <c r="BH59" i="17"/>
  <c r="P69" i="17"/>
  <c r="P62" i="17"/>
  <c r="P61" i="17"/>
  <c r="P72" i="17"/>
  <c r="P68" i="17"/>
  <c r="P59" i="17"/>
  <c r="P57" i="17"/>
  <c r="P65" i="17"/>
  <c r="P56" i="17"/>
  <c r="P71" i="17"/>
  <c r="P66" i="17"/>
  <c r="P67" i="17"/>
  <c r="S71" i="17"/>
  <c r="S67" i="17"/>
  <c r="S64" i="17"/>
  <c r="S66" i="17"/>
  <c r="S70" i="17"/>
  <c r="S62" i="17"/>
  <c r="S65" i="17"/>
  <c r="S39" i="17"/>
  <c r="S69" i="17"/>
  <c r="S59" i="17"/>
  <c r="S72" i="17"/>
  <c r="S63" i="17"/>
  <c r="V39" i="17"/>
  <c r="V67" i="17"/>
  <c r="V69" i="17"/>
  <c r="V64" i="17"/>
  <c r="V72" i="17"/>
  <c r="V68" i="17"/>
  <c r="V59" i="17"/>
  <c r="V70" i="17"/>
  <c r="V62" i="17"/>
  <c r="V57" i="17"/>
  <c r="V65" i="17"/>
  <c r="V58" i="17"/>
  <c r="V66" i="17"/>
  <c r="Z69" i="17"/>
  <c r="Z59" i="17"/>
  <c r="Z57" i="17"/>
  <c r="Z72" i="17"/>
  <c r="Z68" i="17"/>
  <c r="Z66" i="17"/>
  <c r="Z65" i="17"/>
  <c r="Z70" i="17"/>
  <c r="Z67" i="17"/>
  <c r="Z61" i="17"/>
  <c r="Z63" i="17"/>
  <c r="AD69" i="17"/>
  <c r="AD65" i="17"/>
  <c r="AD57" i="17"/>
  <c r="AD63" i="17"/>
  <c r="AD72" i="17"/>
  <c r="AD68" i="17"/>
  <c r="AD66" i="17"/>
  <c r="AD61" i="17"/>
  <c r="AD70" i="17"/>
  <c r="AD71" i="17"/>
  <c r="AD39" i="17"/>
  <c r="AD59" i="17"/>
  <c r="AH66" i="17"/>
  <c r="AH65" i="17"/>
  <c r="AH62" i="17"/>
  <c r="AN69" i="17"/>
  <c r="AN65" i="17"/>
  <c r="AN61" i="17"/>
  <c r="AN39" i="17"/>
  <c r="AN72" i="17"/>
  <c r="AN68" i="17"/>
  <c r="AN57" i="17"/>
  <c r="AN71" i="17"/>
  <c r="AN62" i="17"/>
  <c r="AN67" i="17"/>
  <c r="AN70" i="17"/>
  <c r="AN63" i="17"/>
  <c r="AN59" i="17"/>
  <c r="AN56" i="17"/>
  <c r="AR65" i="17"/>
  <c r="AR67" i="17"/>
  <c r="AR64" i="17"/>
  <c r="AR58" i="17"/>
  <c r="AR66" i="17"/>
  <c r="AR72" i="17"/>
  <c r="AR57" i="17"/>
  <c r="AR59" i="17"/>
  <c r="AR39" i="17"/>
  <c r="AR63" i="17"/>
  <c r="AR70" i="17"/>
  <c r="AR71" i="17"/>
  <c r="AR61" i="17"/>
  <c r="AR62" i="17"/>
  <c r="AV66" i="17"/>
  <c r="AV72" i="17"/>
  <c r="AV68" i="17"/>
  <c r="AV56" i="17"/>
  <c r="AV39" i="17"/>
  <c r="AV65" i="17"/>
  <c r="AV71" i="17"/>
  <c r="AV62" i="17"/>
  <c r="AV69" i="17"/>
  <c r="AV57" i="17"/>
  <c r="AV61" i="17"/>
  <c r="AV59" i="17"/>
  <c r="AV63" i="17"/>
  <c r="AZ65" i="17"/>
  <c r="AZ69" i="17"/>
  <c r="AZ39" i="17"/>
  <c r="AZ72" i="17"/>
  <c r="AZ68" i="17"/>
  <c r="AZ66" i="17"/>
  <c r="AZ63" i="17"/>
  <c r="AZ70" i="17"/>
  <c r="AZ57" i="17"/>
  <c r="AZ67" i="17"/>
  <c r="AZ59" i="17"/>
  <c r="AZ64" i="17"/>
  <c r="BD68" i="17"/>
  <c r="BD62" i="17"/>
  <c r="BD67" i="17"/>
  <c r="BD72" i="17"/>
  <c r="BD66" i="17"/>
  <c r="BD61" i="17"/>
  <c r="BD63" i="17"/>
  <c r="BD56" i="17"/>
  <c r="BD69" i="17"/>
  <c r="BD65" i="17"/>
  <c r="BD39" i="17"/>
  <c r="BD71" i="17"/>
  <c r="BD59" i="17"/>
  <c r="BH39" i="17"/>
  <c r="BH70" i="17"/>
  <c r="BH66" i="17"/>
  <c r="BH67" i="17"/>
  <c r="BH65" i="17"/>
  <c r="BH69" i="17"/>
  <c r="BH63" i="17"/>
  <c r="BH68" i="17"/>
  <c r="BH57" i="17"/>
  <c r="BH64" i="17"/>
  <c r="BH72" i="17"/>
  <c r="BH61" i="17"/>
  <c r="AZ61" i="17"/>
  <c r="BH71" i="17"/>
  <c r="BD57" i="17"/>
  <c r="AZ71" i="17"/>
  <c r="AN66" i="17"/>
  <c r="P63" i="17"/>
  <c r="V63" i="17"/>
  <c r="Z71" i="17"/>
  <c r="AV67" i="17"/>
  <c r="V71" i="17"/>
  <c r="BD64" i="17"/>
  <c r="AR68" i="17"/>
  <c r="S57" i="17"/>
  <c r="P70" i="17"/>
  <c r="M71" i="17"/>
  <c r="M67" i="17"/>
  <c r="M63" i="17"/>
  <c r="M70" i="17"/>
  <c r="M72" i="17"/>
  <c r="M68" i="17"/>
  <c r="M61" i="17"/>
  <c r="M59" i="17"/>
  <c r="M69" i="17"/>
  <c r="M65" i="17"/>
  <c r="M57" i="17"/>
  <c r="M66" i="17"/>
  <c r="BH77" i="27"/>
  <c r="T106" i="19"/>
  <c r="W106" i="19"/>
  <c r="DZ42" i="27"/>
  <c r="EO42" i="27" s="1"/>
  <c r="BF104" i="27"/>
  <c r="EE13" i="27"/>
  <c r="EJ13" i="27"/>
  <c r="BK63" i="27"/>
  <c r="BG11" i="27"/>
  <c r="N11" i="28"/>
  <c r="W11" i="28" s="1"/>
  <c r="L11" i="28"/>
  <c r="U11" i="28" s="1"/>
  <c r="I11" i="28"/>
  <c r="R11" i="28" s="1"/>
  <c r="J11" i="28"/>
  <c r="S11" i="28" s="1"/>
  <c r="M16" i="28"/>
  <c r="V16" i="28" s="1"/>
  <c r="BH16" i="27"/>
  <c r="DP16" i="27" s="1"/>
  <c r="K19" i="28"/>
  <c r="T19" i="28" s="1"/>
  <c r="BH19" i="27"/>
  <c r="W100" i="19" s="1"/>
  <c r="K27" i="28"/>
  <c r="T27" i="28" s="1"/>
  <c r="L27" i="28"/>
  <c r="U27" i="28" s="1"/>
  <c r="I27" i="28"/>
  <c r="R27" i="28" s="1"/>
  <c r="EC38" i="27"/>
  <c r="EL38" i="27" s="1"/>
  <c r="U123" i="19"/>
  <c r="ES4" i="27"/>
  <c r="DK4" i="27"/>
  <c r="L38" i="19"/>
  <c r="AY117" i="17"/>
  <c r="EF13" i="27"/>
  <c r="EI13" i="27" s="1"/>
  <c r="BL63" i="27"/>
  <c r="EF35" i="27"/>
  <c r="EI35" i="27" s="1"/>
  <c r="BL90" i="27"/>
  <c r="EF48" i="27"/>
  <c r="EI48" i="27" s="1"/>
  <c r="BL110" i="27"/>
  <c r="J9" i="28"/>
  <c r="S9" i="28" s="1"/>
  <c r="BH9" i="27"/>
  <c r="BH35" i="27"/>
  <c r="J35" i="28"/>
  <c r="S35" i="28" s="1"/>
  <c r="BH47" i="27"/>
  <c r="J47" i="28"/>
  <c r="S47" i="28" s="1"/>
  <c r="M47" i="28"/>
  <c r="V47" i="28" s="1"/>
  <c r="ES25" i="27"/>
  <c r="Q25" i="19"/>
  <c r="U108" i="19"/>
  <c r="W134" i="19"/>
  <c r="DK38" i="27"/>
  <c r="AU116" i="17" s="1"/>
  <c r="Q4" i="19"/>
  <c r="I9" i="28"/>
  <c r="R9" i="28" s="1"/>
  <c r="L9" i="19"/>
  <c r="DK9" i="27"/>
  <c r="M50" i="28"/>
  <c r="V50" i="28" s="1"/>
  <c r="J41" i="28"/>
  <c r="S41" i="28" s="1"/>
  <c r="J19" i="28"/>
  <c r="S19" i="28" s="1"/>
  <c r="M25" i="28"/>
  <c r="V25" i="28" s="1"/>
  <c r="I41" i="28"/>
  <c r="L16" i="28"/>
  <c r="U16" i="28" s="1"/>
  <c r="I47" i="28"/>
  <c r="BL65" i="27"/>
  <c r="BK107" i="27"/>
  <c r="BK91" i="27"/>
  <c r="BJ69" i="27"/>
  <c r="BL107" i="27"/>
  <c r="BI94" i="27"/>
  <c r="BJ80" i="27"/>
  <c r="BK58" i="27"/>
  <c r="BL71" i="27"/>
  <c r="DK23" i="27"/>
  <c r="AF116" i="17" s="1"/>
  <c r="EF8" i="27"/>
  <c r="EI8" i="27" s="1"/>
  <c r="BL58" i="27"/>
  <c r="BH11" i="27"/>
  <c r="EG11" i="27"/>
  <c r="EH11" i="27" s="1"/>
  <c r="BM61" i="27"/>
  <c r="BJ22" i="27"/>
  <c r="ED22" i="27"/>
  <c r="EK22" i="27" s="1"/>
  <c r="EG29" i="27"/>
  <c r="EH29" i="27" s="1"/>
  <c r="BM81" i="27"/>
  <c r="EG31" i="27"/>
  <c r="EH31" i="27" s="1"/>
  <c r="BM83" i="27"/>
  <c r="ED41" i="27"/>
  <c r="EK41" i="27" s="1"/>
  <c r="BJ102" i="27"/>
  <c r="N6" i="28"/>
  <c r="W6" i="28" s="1"/>
  <c r="J6" i="28"/>
  <c r="S6" i="28" s="1"/>
  <c r="BI39" i="27"/>
  <c r="BI96" i="27" s="1"/>
  <c r="L39" i="19"/>
  <c r="BK20" i="27"/>
  <c r="L20" i="19"/>
  <c r="EF39" i="27"/>
  <c r="EI39" i="27" s="1"/>
  <c r="BL96" i="27"/>
  <c r="BH42" i="27"/>
  <c r="BJ42" i="27"/>
  <c r="J42" i="28"/>
  <c r="S42" i="28" s="1"/>
  <c r="K42" i="28"/>
  <c r="T42" i="28" s="1"/>
  <c r="L42" i="28"/>
  <c r="U42" i="28" s="1"/>
  <c r="N22" i="28"/>
  <c r="W22" i="28" s="1"/>
  <c r="K16" i="28"/>
  <c r="T16" i="28" s="1"/>
  <c r="L7" i="19"/>
  <c r="EE9" i="27"/>
  <c r="EJ9" i="27" s="1"/>
  <c r="BK59" i="27"/>
  <c r="EF12" i="27"/>
  <c r="EI12" i="27" s="1"/>
  <c r="BL62" i="27"/>
  <c r="EG14" i="27"/>
  <c r="EH14" i="27" s="1"/>
  <c r="BM65" i="27"/>
  <c r="EG41" i="27"/>
  <c r="EH41" i="27" s="1"/>
  <c r="BM102" i="27"/>
  <c r="BI29" i="27"/>
  <c r="U110" i="19"/>
  <c r="L29" i="19"/>
  <c r="BF41" i="27"/>
  <c r="DZ41" i="27" s="1"/>
  <c r="EO41" i="27" s="1"/>
  <c r="BG41" i="27"/>
  <c r="V130" i="19" s="1"/>
  <c r="K41" i="28"/>
  <c r="T41" i="28" s="1"/>
  <c r="X108" i="19"/>
  <c r="M9" i="28"/>
  <c r="V9" i="28" s="1"/>
  <c r="L19" i="28"/>
  <c r="U19" i="28" s="1"/>
  <c r="N9" i="28"/>
  <c r="W9" i="28" s="1"/>
  <c r="L35" i="28"/>
  <c r="U35" i="28" s="1"/>
  <c r="X123" i="19"/>
  <c r="M42" i="28"/>
  <c r="V42" i="28" s="1"/>
  <c r="L12" i="28"/>
  <c r="U12" i="28" s="1"/>
  <c r="L41" i="28"/>
  <c r="U41" i="28" s="1"/>
  <c r="I16" i="28"/>
  <c r="N16" i="28"/>
  <c r="W16" i="28" s="1"/>
  <c r="L47" i="28"/>
  <c r="U47" i="28" s="1"/>
  <c r="BL83" i="27"/>
  <c r="BM56" i="27"/>
  <c r="K11" i="28"/>
  <c r="T11" i="28" s="1"/>
  <c r="EF42" i="27"/>
  <c r="EI42" i="27" s="1"/>
  <c r="BL104" i="27"/>
  <c r="BJ11" i="27"/>
  <c r="BJ61" i="27" s="1"/>
  <c r="BJ16" i="27"/>
  <c r="ED16" i="27" s="1"/>
  <c r="EK16" i="27" s="1"/>
  <c r="EG16" i="27"/>
  <c r="EH16" i="27" s="1"/>
  <c r="BM68" i="27"/>
  <c r="ED21" i="27"/>
  <c r="EK21" i="27" s="1"/>
  <c r="BJ73" i="27"/>
  <c r="EE22" i="27"/>
  <c r="EJ22" i="27" s="1"/>
  <c r="BK74" i="27"/>
  <c r="EF25" i="27"/>
  <c r="EI25" i="27" s="1"/>
  <c r="BL77" i="27"/>
  <c r="ED36" i="27"/>
  <c r="EK36" i="27" s="1"/>
  <c r="BJ91" i="27"/>
  <c r="ED40" i="27"/>
  <c r="EK40" i="27" s="1"/>
  <c r="BJ99" i="27"/>
  <c r="EF46" i="27"/>
  <c r="EI46" i="27" s="1"/>
  <c r="BL108" i="27"/>
  <c r="J36" i="28"/>
  <c r="S36" i="28" s="1"/>
  <c r="I36" i="28"/>
  <c r="R36" i="28" s="1"/>
  <c r="BL40" i="27"/>
  <c r="EF40" i="27" s="1"/>
  <c r="EI40" i="27" s="1"/>
  <c r="EF50" i="27"/>
  <c r="EI50" i="27" s="1"/>
  <c r="ED13" i="27"/>
  <c r="EK13" i="27" s="1"/>
  <c r="BJ63" i="27"/>
  <c r="BK14" i="27"/>
  <c r="L14" i="19"/>
  <c r="EG15" i="27"/>
  <c r="EH15" i="27" s="1"/>
  <c r="BM66" i="27"/>
  <c r="EF16" i="27"/>
  <c r="EI16" i="27" s="1"/>
  <c r="BL68" i="27"/>
  <c r="EF17" i="27"/>
  <c r="EI17" i="27" s="1"/>
  <c r="BL69" i="27"/>
  <c r="EF18" i="27"/>
  <c r="EI18" i="27" s="1"/>
  <c r="BL70" i="27"/>
  <c r="L34" i="19"/>
  <c r="BK34" i="27"/>
  <c r="ED46" i="27"/>
  <c r="EK46" i="27" s="1"/>
  <c r="BJ108" i="27"/>
  <c r="ED48" i="27"/>
  <c r="EK48" i="27" s="1"/>
  <c r="BJ110" i="27"/>
  <c r="K17" i="28"/>
  <c r="J17" i="28"/>
  <c r="S17" i="28" s="1"/>
  <c r="BG17" i="27"/>
  <c r="L17" i="28"/>
  <c r="U17" i="28" s="1"/>
  <c r="BI19" i="27"/>
  <c r="BI71" i="27" s="1"/>
  <c r="L19" i="19"/>
  <c r="EC46" i="27"/>
  <c r="EL46" i="27" s="1"/>
  <c r="U135" i="19"/>
  <c r="X135" i="19"/>
  <c r="BI108" i="27"/>
  <c r="I17" i="28"/>
  <c r="R17" i="28" s="1"/>
  <c r="BE123" i="17"/>
  <c r="DK48" i="27"/>
  <c r="BJ82" i="27"/>
  <c r="ED30" i="27"/>
  <c r="EK30" i="27" s="1"/>
  <c r="BK25" i="27"/>
  <c r="EE25" i="27" s="1"/>
  <c r="EJ25" i="27" s="1"/>
  <c r="L25" i="19"/>
  <c r="EG26" i="27"/>
  <c r="EH26" i="27" s="1"/>
  <c r="BM78" i="27"/>
  <c r="EF33" i="27"/>
  <c r="EI33" i="27" s="1"/>
  <c r="BL85" i="27"/>
  <c r="BJ107" i="27"/>
  <c r="ED45" i="27"/>
  <c r="EK45" i="27" s="1"/>
  <c r="L10" i="19"/>
  <c r="BI10" i="27"/>
  <c r="CE10" i="27" s="1"/>
  <c r="CW10" i="27" s="1"/>
  <c r="J13" i="28"/>
  <c r="BH13" i="27"/>
  <c r="K13" i="28"/>
  <c r="T13" i="28" s="1"/>
  <c r="L13" i="28"/>
  <c r="U13" i="28" s="1"/>
  <c r="BH14" i="27"/>
  <c r="M14" i="28"/>
  <c r="V14" i="28" s="1"/>
  <c r="N14" i="28"/>
  <c r="W14" i="28" s="1"/>
  <c r="BJ14" i="27"/>
  <c r="ED14" i="27" s="1"/>
  <c r="EK14" i="27" s="1"/>
  <c r="J14" i="28"/>
  <c r="S14" i="28" s="1"/>
  <c r="BG30" i="27"/>
  <c r="S111" i="19" s="1"/>
  <c r="BF30" i="27"/>
  <c r="DZ30" i="27" s="1"/>
  <c r="BH30" i="27"/>
  <c r="BH82" i="27" s="1"/>
  <c r="K30" i="28"/>
  <c r="T30" i="28" s="1"/>
  <c r="J30" i="28"/>
  <c r="S30" i="28" s="1"/>
  <c r="BG32" i="27"/>
  <c r="EA32" i="27" s="1"/>
  <c r="EN32" i="27" s="1"/>
  <c r="BH32" i="27"/>
  <c r="BP32" i="27" s="1"/>
  <c r="J32" i="28"/>
  <c r="S32" i="28" s="1"/>
  <c r="BF32" i="27"/>
  <c r="L32" i="28"/>
  <c r="U32" i="28" s="1"/>
  <c r="BI32" i="27"/>
  <c r="U113" i="19" s="1"/>
  <c r="K32" i="28"/>
  <c r="T32" i="28" s="1"/>
  <c r="J43" i="28"/>
  <c r="S43" i="28" s="1"/>
  <c r="I43" i="28"/>
  <c r="R43" i="28" s="1"/>
  <c r="K43" i="28"/>
  <c r="T43" i="28" s="1"/>
  <c r="M43" i="28"/>
  <c r="V43" i="28" s="1"/>
  <c r="N43" i="28"/>
  <c r="W43" i="28" s="1"/>
  <c r="BH43" i="27"/>
  <c r="L43" i="28"/>
  <c r="U43" i="28" s="1"/>
  <c r="ES5" i="27"/>
  <c r="Q5" i="19"/>
  <c r="ES13" i="27"/>
  <c r="DK13" i="27"/>
  <c r="V116" i="17" s="1"/>
  <c r="ES17" i="27"/>
  <c r="Q17" i="19"/>
  <c r="ES21" i="27"/>
  <c r="Q21" i="19"/>
  <c r="AD9" i="17" s="1"/>
  <c r="ES29" i="27"/>
  <c r="DK29" i="27"/>
  <c r="Q29" i="19"/>
  <c r="AL9" i="17" s="1"/>
  <c r="ES33" i="27"/>
  <c r="Q33" i="19"/>
  <c r="AP9" i="17" s="1"/>
  <c r="ES37" i="27"/>
  <c r="Q37" i="19"/>
  <c r="AT9" i="17" s="1"/>
  <c r="ES45" i="27"/>
  <c r="Q45" i="19"/>
  <c r="BB9" i="17" s="1"/>
  <c r="DK45" i="27"/>
  <c r="BB116" i="17" s="1"/>
  <c r="AM117" i="17"/>
  <c r="DK30" i="27"/>
  <c r="DM30" i="27" s="1"/>
  <c r="DN30" i="27" s="1"/>
  <c r="BB117" i="17"/>
  <c r="L12" i="19"/>
  <c r="BJ12" i="27"/>
  <c r="EG12" i="27"/>
  <c r="EH12" i="27"/>
  <c r="BM62" i="27"/>
  <c r="BL44" i="27"/>
  <c r="L44" i="19"/>
  <c r="BI8" i="27"/>
  <c r="L8" i="19"/>
  <c r="DK51" i="27"/>
  <c r="BH116" i="17"/>
  <c r="L46" i="19"/>
  <c r="N117" i="17"/>
  <c r="R117" i="17"/>
  <c r="W117" i="17"/>
  <c r="AA117" i="17"/>
  <c r="DK18" i="27"/>
  <c r="AA116" i="17" s="1"/>
  <c r="BL54" i="27"/>
  <c r="EF5" i="27"/>
  <c r="EI5" i="27" s="1"/>
  <c r="EF10" i="27"/>
  <c r="EI10" i="27" s="1"/>
  <c r="BL60" i="27"/>
  <c r="EG13" i="27"/>
  <c r="EH13" i="27" s="1"/>
  <c r="BM63" i="27"/>
  <c r="L21" i="19"/>
  <c r="BK21" i="27"/>
  <c r="BK73" i="27" s="1"/>
  <c r="EF22" i="27"/>
  <c r="EI22" i="27"/>
  <c r="BL74" i="27"/>
  <c r="EE23" i="27"/>
  <c r="EJ23" i="27" s="1"/>
  <c r="BK75" i="27"/>
  <c r="EE29" i="27"/>
  <c r="EJ29" i="27" s="1"/>
  <c r="BK81" i="27"/>
  <c r="ED33" i="27"/>
  <c r="EK33" i="27" s="1"/>
  <c r="BJ85" i="27"/>
  <c r="ED37" i="27"/>
  <c r="EK37" i="27" s="1"/>
  <c r="BJ93" i="27"/>
  <c r="EG37" i="27"/>
  <c r="EH37" i="27" s="1"/>
  <c r="BM93" i="27"/>
  <c r="EF38" i="27"/>
  <c r="EI38" i="27" s="1"/>
  <c r="BL94" i="27"/>
  <c r="EE39" i="27"/>
  <c r="EJ39" i="27" s="1"/>
  <c r="BK96" i="27"/>
  <c r="L40" i="19"/>
  <c r="EG43" i="27"/>
  <c r="EH43" i="27" s="1"/>
  <c r="BM105" i="27"/>
  <c r="EE49" i="27"/>
  <c r="EJ49" i="27" s="1"/>
  <c r="BK112" i="27"/>
  <c r="EG4" i="27"/>
  <c r="EH4" i="27" s="1"/>
  <c r="BM53" i="27"/>
  <c r="BH22" i="27"/>
  <c r="K22" i="28"/>
  <c r="T22" i="28" s="1"/>
  <c r="I22" i="28"/>
  <c r="R22" i="28" s="1"/>
  <c r="BI22" i="27"/>
  <c r="U103" i="19" s="1"/>
  <c r="L22" i="28"/>
  <c r="J22" i="28"/>
  <c r="S22" i="28" s="1"/>
  <c r="J25" i="28"/>
  <c r="S25" i="28" s="1"/>
  <c r="N25" i="28"/>
  <c r="W25" i="28" s="1"/>
  <c r="BJ25" i="27"/>
  <c r="BJ77" i="27" s="1"/>
  <c r="K25" i="28"/>
  <c r="T25" i="28" s="1"/>
  <c r="L25" i="28"/>
  <c r="U25" i="28" s="1"/>
  <c r="BH29" i="27"/>
  <c r="T110" i="19" s="1"/>
  <c r="I29" i="28"/>
  <c r="R29" i="28" s="1"/>
  <c r="K29" i="28"/>
  <c r="T29" i="28" s="1"/>
  <c r="BI33" i="27"/>
  <c r="L33" i="19"/>
  <c r="BH36" i="27"/>
  <c r="W120" i="19" s="1"/>
  <c r="K36" i="28"/>
  <c r="EC37" i="27"/>
  <c r="EL37" i="27" s="1"/>
  <c r="U122" i="19"/>
  <c r="X122" i="19"/>
  <c r="AA122" i="19" s="1"/>
  <c r="BI93" i="27"/>
  <c r="BF40" i="27"/>
  <c r="DZ40" i="27" s="1"/>
  <c r="EO40" i="27" s="1"/>
  <c r="BI47" i="27"/>
  <c r="U136" i="19" s="1"/>
  <c r="BI31" i="27"/>
  <c r="BG31" i="27"/>
  <c r="BH31" i="27"/>
  <c r="BF31" i="27"/>
  <c r="K31" i="28"/>
  <c r="T31" i="28" s="1"/>
  <c r="J31" i="28"/>
  <c r="S31" i="28" s="1"/>
  <c r="M31" i="28"/>
  <c r="V31" i="28" s="1"/>
  <c r="BH37" i="27"/>
  <c r="J37" i="28"/>
  <c r="S37" i="28" s="1"/>
  <c r="I37" i="28"/>
  <c r="R37" i="28" s="1"/>
  <c r="K37" i="28"/>
  <c r="BG39" i="27"/>
  <c r="BH39" i="27"/>
  <c r="BF39" i="27"/>
  <c r="DZ39" i="27" s="1"/>
  <c r="EO39" i="27" s="1"/>
  <c r="I39" i="28"/>
  <c r="R39" i="28" s="1"/>
  <c r="L39" i="28"/>
  <c r="U39" i="28" s="1"/>
  <c r="K39" i="28"/>
  <c r="T39" i="28" s="1"/>
  <c r="J39" i="28"/>
  <c r="S39" i="28" s="1"/>
  <c r="BH48" i="27"/>
  <c r="L48" i="28"/>
  <c r="U48" i="28" s="1"/>
  <c r="M48" i="28"/>
  <c r="V48" i="28" s="1"/>
  <c r="I48" i="28"/>
  <c r="R48" i="28" s="1"/>
  <c r="K48" i="28"/>
  <c r="T48" i="28" s="1"/>
  <c r="J48" i="28"/>
  <c r="S48" i="28" s="1"/>
  <c r="ES8" i="27"/>
  <c r="Q8" i="19"/>
  <c r="ES12" i="27"/>
  <c r="Q12" i="19"/>
  <c r="U9" i="17" s="1"/>
  <c r="ES16" i="27"/>
  <c r="DK16" i="27"/>
  <c r="DM16" i="27" s="1"/>
  <c r="DN16" i="27" s="1"/>
  <c r="Q16" i="19"/>
  <c r="ES20" i="27"/>
  <c r="Q20" i="19"/>
  <c r="ES24" i="27"/>
  <c r="Q24" i="19"/>
  <c r="AG9" i="17" s="1"/>
  <c r="ES28" i="27"/>
  <c r="Q28" i="19"/>
  <c r="ES32" i="27"/>
  <c r="Q32" i="19"/>
  <c r="DK32" i="27"/>
  <c r="ES36" i="27"/>
  <c r="DK36" i="27"/>
  <c r="Q36" i="19"/>
  <c r="ES40" i="27"/>
  <c r="Q40" i="19"/>
  <c r="AW9" i="17" s="1"/>
  <c r="DK40" i="27"/>
  <c r="DM40" i="27" s="1"/>
  <c r="DN40" i="27" s="1"/>
  <c r="ES44" i="27"/>
  <c r="Q44" i="19"/>
  <c r="ES48" i="27"/>
  <c r="Q48" i="19"/>
  <c r="EE10" i="27"/>
  <c r="EJ10" i="27" s="1"/>
  <c r="BK60" i="27"/>
  <c r="AB117" i="17"/>
  <c r="DK19" i="27"/>
  <c r="AB116" i="17" s="1"/>
  <c r="AE117" i="17"/>
  <c r="DK22" i="27"/>
  <c r="AJ117" i="17"/>
  <c r="DK27" i="27"/>
  <c r="AJ116" i="17" s="1"/>
  <c r="DK37" i="27"/>
  <c r="W123" i="17"/>
  <c r="DK14" i="27"/>
  <c r="EE30" i="27"/>
  <c r="EJ30" i="27" s="1"/>
  <c r="EG50" i="27"/>
  <c r="EH50" i="27" s="1"/>
  <c r="BK11" i="27"/>
  <c r="L11" i="19"/>
  <c r="BG15" i="27"/>
  <c r="S96" i="19" s="1"/>
  <c r="BF15" i="27"/>
  <c r="DZ15" i="27" s="1"/>
  <c r="EO15" i="27" s="1"/>
  <c r="BI15" i="27"/>
  <c r="X96" i="19" s="1"/>
  <c r="M15" i="28"/>
  <c r="V15" i="28" s="1"/>
  <c r="K15" i="28"/>
  <c r="T15" i="28" s="1"/>
  <c r="I15" i="28"/>
  <c r="R15" i="28" s="1"/>
  <c r="J15" i="28"/>
  <c r="BH15" i="27"/>
  <c r="DP15" i="27" s="1"/>
  <c r="BI17" i="27"/>
  <c r="L17" i="19"/>
  <c r="BG26" i="27"/>
  <c r="BF26" i="27"/>
  <c r="BH26" i="27"/>
  <c r="I26" i="28"/>
  <c r="R26" i="28" s="1"/>
  <c r="L26" i="28"/>
  <c r="Q117" i="17"/>
  <c r="DK39" i="27"/>
  <c r="AV117" i="17"/>
  <c r="AZ117" i="17"/>
  <c r="EG10" i="27"/>
  <c r="EH10" i="27" s="1"/>
  <c r="BM60" i="27"/>
  <c r="EG17" i="27"/>
  <c r="EH17" i="27" s="1"/>
  <c r="BM69" i="27"/>
  <c r="EF24" i="27"/>
  <c r="EI24" i="27"/>
  <c r="BL76" i="27"/>
  <c r="EB25" i="27"/>
  <c r="EM25" i="27" s="1"/>
  <c r="DP25" i="27"/>
  <c r="BJ31" i="27"/>
  <c r="L31" i="19"/>
  <c r="ED32" i="27"/>
  <c r="EK32" i="27" s="1"/>
  <c r="BJ84" i="27"/>
  <c r="AS117" i="17"/>
  <c r="EE35" i="27"/>
  <c r="EJ35" i="27" s="1"/>
  <c r="BK90" i="27"/>
  <c r="EF47" i="27"/>
  <c r="EI47" i="27" s="1"/>
  <c r="BL109" i="27"/>
  <c r="BG10" i="27"/>
  <c r="BF10" i="27"/>
  <c r="BH10" i="27"/>
  <c r="BG18" i="27"/>
  <c r="BF18" i="27"/>
  <c r="BH18" i="27"/>
  <c r="BI18" i="27"/>
  <c r="BJ18" i="27"/>
  <c r="J18" i="28"/>
  <c r="S18" i="28" s="1"/>
  <c r="BG28" i="27"/>
  <c r="BF28" i="27"/>
  <c r="BH28" i="27"/>
  <c r="J28" i="28"/>
  <c r="L28" i="28"/>
  <c r="U28" i="28" s="1"/>
  <c r="EG19" i="27"/>
  <c r="EH19" i="27" s="1"/>
  <c r="BM71" i="27"/>
  <c r="EG23" i="27"/>
  <c r="EH23" i="27" s="1"/>
  <c r="BM75" i="27"/>
  <c r="EE32" i="27"/>
  <c r="EJ32" i="27" s="1"/>
  <c r="BK84" i="27"/>
  <c r="EE37" i="27"/>
  <c r="EJ37" i="27" s="1"/>
  <c r="BK93" i="27"/>
  <c r="BF12" i="27"/>
  <c r="BH12" i="27"/>
  <c r="M12" i="28"/>
  <c r="V12" i="28" s="1"/>
  <c r="BI49" i="27"/>
  <c r="L49" i="19"/>
  <c r="ES10" i="27"/>
  <c r="DK10" i="27"/>
  <c r="ES18" i="27"/>
  <c r="Q18" i="19"/>
  <c r="ES26" i="27"/>
  <c r="DK26" i="27"/>
  <c r="ES30" i="27"/>
  <c r="Q30" i="19"/>
  <c r="ES50" i="27"/>
  <c r="Q50" i="19"/>
  <c r="BM70" i="27"/>
  <c r="BK62" i="27"/>
  <c r="BJ58" i="27"/>
  <c r="I38" i="28"/>
  <c r="R38" i="28" s="1"/>
  <c r="L10" i="28"/>
  <c r="U10" i="28" s="1"/>
  <c r="Q34" i="19"/>
  <c r="Q42" i="19"/>
  <c r="Y123" i="17"/>
  <c r="BK6" i="27"/>
  <c r="EE6" i="27" s="1"/>
  <c r="EJ6" i="27" s="1"/>
  <c r="L6" i="19"/>
  <c r="EF27" i="27"/>
  <c r="EI27" i="27" s="1"/>
  <c r="BL79" i="27"/>
  <c r="EG44" i="27"/>
  <c r="EH44" i="27" s="1"/>
  <c r="BM106" i="27"/>
  <c r="BG14" i="27"/>
  <c r="DO14" i="27" s="1"/>
  <c r="BI14" i="27"/>
  <c r="BF14" i="27"/>
  <c r="BG25" i="27"/>
  <c r="I25" i="28"/>
  <c r="R25" i="28" s="1"/>
  <c r="BG27" i="27"/>
  <c r="BF27" i="27"/>
  <c r="BH27" i="27"/>
  <c r="J27" i="28"/>
  <c r="S27" i="28" s="1"/>
  <c r="BH46" i="27"/>
  <c r="L46" i="28"/>
  <c r="U46" i="28" s="1"/>
  <c r="BG9" i="27"/>
  <c r="BI9" i="27"/>
  <c r="EC9" i="27" s="1"/>
  <c r="BF13" i="27"/>
  <c r="BG13" i="27"/>
  <c r="BG22" i="27"/>
  <c r="BF22" i="27"/>
  <c r="DZ22" i="27" s="1"/>
  <c r="EO22" i="27" s="1"/>
  <c r="BG29" i="27"/>
  <c r="BF29" i="27"/>
  <c r="BF11" i="27"/>
  <c r="BI11" i="27"/>
  <c r="CA11" i="27" s="1"/>
  <c r="BF17" i="27"/>
  <c r="BH17" i="27"/>
  <c r="BG23" i="27"/>
  <c r="BI23" i="27"/>
  <c r="BO23" i="27" s="1"/>
  <c r="BF47" i="27"/>
  <c r="BG47" i="27"/>
  <c r="BH5" i="27"/>
  <c r="BJ5" i="27"/>
  <c r="BJ54" i="27" s="1"/>
  <c r="BI5" i="27"/>
  <c r="BI7" i="27"/>
  <c r="BF7" i="27"/>
  <c r="BG7" i="27"/>
  <c r="BG43" i="27"/>
  <c r="BI43" i="27"/>
  <c r="BF43" i="27"/>
  <c r="AK117" i="17"/>
  <c r="BG4" i="27"/>
  <c r="BH4" i="27"/>
  <c r="BJ4" i="27"/>
  <c r="BI4" i="27"/>
  <c r="BF38" i="27"/>
  <c r="BG38" i="27"/>
  <c r="BH38" i="27"/>
  <c r="BJ43" i="27"/>
  <c r="BG37" i="27"/>
  <c r="BF37" i="27"/>
  <c r="BJ7" i="27"/>
  <c r="ED7" i="27" s="1"/>
  <c r="EK7" i="27" s="1"/>
  <c r="BF5" i="27"/>
  <c r="BF45" i="27"/>
  <c r="BG45" i="27"/>
  <c r="BF21" i="27"/>
  <c r="BI21" i="27"/>
  <c r="BG48" i="27"/>
  <c r="BI48" i="27"/>
  <c r="BI12" i="27"/>
  <c r="BG12" i="27"/>
  <c r="BI16" i="27"/>
  <c r="BF16" i="27"/>
  <c r="BG16" i="27"/>
  <c r="BF19" i="27"/>
  <c r="BG19" i="27"/>
  <c r="BI20" i="27"/>
  <c r="BG20" i="27"/>
  <c r="BF20" i="27"/>
  <c r="BF72" i="27" s="1"/>
  <c r="BG35" i="27"/>
  <c r="BF35" i="27"/>
  <c r="BF36" i="27"/>
  <c r="BG36" i="27"/>
  <c r="BG42" i="27"/>
  <c r="BI42" i="27"/>
  <c r="BF46" i="27"/>
  <c r="BG46" i="27"/>
  <c r="BI6" i="27"/>
  <c r="BF6" i="27"/>
  <c r="BF9" i="27"/>
  <c r="BG21" i="27"/>
  <c r="BI44" i="27"/>
  <c r="BF44" i="27"/>
  <c r="BF48" i="27"/>
  <c r="BG50" i="27"/>
  <c r="DO50" i="27" s="1"/>
  <c r="BI24" i="27"/>
  <c r="BF24" i="27"/>
  <c r="BG24" i="27"/>
  <c r="BI25" i="27"/>
  <c r="BF25" i="27"/>
  <c r="BG33" i="27"/>
  <c r="AW39" i="17"/>
  <c r="BA61" i="17"/>
  <c r="N61" i="17"/>
  <c r="N72" i="17"/>
  <c r="N39" i="17"/>
  <c r="N70" i="17"/>
  <c r="R70" i="17"/>
  <c r="R65" i="17"/>
  <c r="R68" i="17"/>
  <c r="R56" i="17"/>
  <c r="T65" i="17"/>
  <c r="T71" i="17"/>
  <c r="T62" i="17"/>
  <c r="T68" i="17"/>
  <c r="T70" i="17"/>
  <c r="T64" i="17"/>
  <c r="T39" i="17"/>
  <c r="T67" i="17"/>
  <c r="T59" i="17"/>
  <c r="X70" i="17"/>
  <c r="X65" i="17"/>
  <c r="X56" i="17"/>
  <c r="X69" i="17"/>
  <c r="X63" i="17"/>
  <c r="X67" i="17"/>
  <c r="X57" i="17"/>
  <c r="X72" i="17"/>
  <c r="X61" i="17"/>
  <c r="X39" i="17"/>
  <c r="X71" i="17"/>
  <c r="AB70" i="17"/>
  <c r="AB66" i="17"/>
  <c r="AB69" i="17"/>
  <c r="AB65" i="17"/>
  <c r="AB59" i="17"/>
  <c r="AB63" i="17"/>
  <c r="AB39" i="17"/>
  <c r="AB68" i="17"/>
  <c r="AB57" i="17"/>
  <c r="AB67" i="17"/>
  <c r="AF57" i="17"/>
  <c r="AJ39" i="17"/>
  <c r="AJ58" i="17"/>
  <c r="AJ69" i="17"/>
  <c r="AJ65" i="17"/>
  <c r="AJ67" i="17"/>
  <c r="AJ72" i="17"/>
  <c r="AJ68" i="17"/>
  <c r="AJ57" i="17"/>
  <c r="AJ63" i="17"/>
  <c r="AJ71" i="17"/>
  <c r="AJ61" i="17"/>
  <c r="AJ70" i="17"/>
  <c r="AP70" i="17"/>
  <c r="AP66" i="17"/>
  <c r="AP57" i="17"/>
  <c r="AP39" i="17"/>
  <c r="AP69" i="17"/>
  <c r="AP65" i="17"/>
  <c r="AP63" i="17"/>
  <c r="AP67" i="17"/>
  <c r="AP59" i="17"/>
  <c r="AP72" i="17"/>
  <c r="AT72" i="17"/>
  <c r="AT61" i="17"/>
  <c r="AT64" i="17"/>
  <c r="AX63" i="17"/>
  <c r="BB39" i="17"/>
  <c r="BB71" i="17"/>
  <c r="BB62" i="17"/>
  <c r="BB65" i="17"/>
  <c r="BB68" i="17"/>
  <c r="BB61" i="17"/>
  <c r="BB72" i="17"/>
  <c r="BB67" i="17"/>
  <c r="BB64" i="17"/>
  <c r="BB57" i="17"/>
  <c r="BF72" i="17"/>
  <c r="BF66" i="17"/>
  <c r="BF61" i="17"/>
  <c r="BF65" i="17"/>
  <c r="BF67" i="17"/>
  <c r="BF71" i="17"/>
  <c r="BF64" i="17"/>
  <c r="BF59" i="17"/>
  <c r="BF57" i="17"/>
  <c r="BF68" i="17"/>
  <c r="BF63" i="17"/>
  <c r="BF56" i="17"/>
  <c r="BB70" i="17"/>
  <c r="BB63" i="17"/>
  <c r="T57" i="17"/>
  <c r="AF59" i="17"/>
  <c r="AB61" i="17"/>
  <c r="AB72" i="17"/>
  <c r="X68" i="17"/>
  <c r="N56" i="17"/>
  <c r="BF39" i="17"/>
  <c r="AP64" i="17"/>
  <c r="AJ64" i="17"/>
  <c r="AP68" i="17"/>
  <c r="T69" i="17"/>
  <c r="R71" i="17"/>
  <c r="AJ66" i="17"/>
  <c r="X59" i="17"/>
  <c r="BF62" i="17"/>
  <c r="M39" i="17"/>
  <c r="Q71" i="17"/>
  <c r="Q67" i="17"/>
  <c r="Q56" i="17"/>
  <c r="Q63" i="17"/>
  <c r="Q39" i="17"/>
  <c r="Q68" i="17"/>
  <c r="Q72" i="17"/>
  <c r="Q66" i="17"/>
  <c r="Q62" i="17"/>
  <c r="Q70" i="17"/>
  <c r="Q65" i="17"/>
  <c r="Q59" i="17"/>
  <c r="W59" i="17"/>
  <c r="W62" i="17"/>
  <c r="AA62" i="17"/>
  <c r="AE69" i="17"/>
  <c r="AE65" i="17"/>
  <c r="AE61" i="17"/>
  <c r="AE39" i="17"/>
  <c r="AE68" i="17"/>
  <c r="AE57" i="17"/>
  <c r="AE72" i="17"/>
  <c r="AE67" i="17"/>
  <c r="AE63" i="17"/>
  <c r="AE71" i="17"/>
  <c r="AE66" i="17"/>
  <c r="AE58" i="17"/>
  <c r="AI71" i="17"/>
  <c r="AI67" i="17"/>
  <c r="AI57" i="17"/>
  <c r="AI69" i="17"/>
  <c r="AI39" i="17"/>
  <c r="AI68" i="17"/>
  <c r="AI59" i="17"/>
  <c r="AI72" i="17"/>
  <c r="AI66" i="17"/>
  <c r="AI63" i="17"/>
  <c r="AL61" i="17"/>
  <c r="AL57" i="17"/>
  <c r="AL67" i="17"/>
  <c r="AL65" i="17"/>
  <c r="AL68" i="17"/>
  <c r="AL63" i="17"/>
  <c r="AL66" i="17"/>
  <c r="AO69" i="17"/>
  <c r="AO59" i="17"/>
  <c r="AO68" i="17"/>
  <c r="AO72" i="17"/>
  <c r="AO66" i="17"/>
  <c r="AO71" i="17"/>
  <c r="AO67" i="17"/>
  <c r="AS39" i="17"/>
  <c r="AS71" i="17"/>
  <c r="AS66" i="17"/>
  <c r="AS67" i="17"/>
  <c r="AS56" i="17"/>
  <c r="AS70" i="17"/>
  <c r="AS63" i="17"/>
  <c r="AS57" i="17"/>
  <c r="AS69" i="17"/>
  <c r="AS61" i="17"/>
  <c r="AS68" i="17"/>
  <c r="AS62" i="17"/>
  <c r="AW69" i="17"/>
  <c r="AW65" i="17"/>
  <c r="AW57" i="17"/>
  <c r="AW59" i="17"/>
  <c r="AW71" i="17"/>
  <c r="AW66" i="17"/>
  <c r="AW70" i="17"/>
  <c r="AW63" i="17"/>
  <c r="AW68" i="17"/>
  <c r="AW61" i="17"/>
  <c r="BA69" i="17"/>
  <c r="BA63" i="17"/>
  <c r="BA66" i="17"/>
  <c r="BA56" i="17"/>
  <c r="BA72" i="17"/>
  <c r="BA67" i="17"/>
  <c r="BA59" i="17"/>
  <c r="BA71" i="17"/>
  <c r="BA65" i="17"/>
  <c r="BA70" i="17"/>
  <c r="BA62" i="17"/>
  <c r="BE71" i="17"/>
  <c r="BE66" i="17"/>
  <c r="BE63" i="17"/>
  <c r="BE59" i="17"/>
  <c r="BE67" i="17"/>
  <c r="BE61" i="17"/>
  <c r="BE39" i="17"/>
  <c r="BE72" i="17"/>
  <c r="BE65" i="17"/>
  <c r="BE64" i="17"/>
  <c r="BE69" i="17"/>
  <c r="BE57" i="17"/>
  <c r="BE62" i="17"/>
  <c r="BE68" i="17"/>
  <c r="BA68" i="17"/>
  <c r="AO70" i="17"/>
  <c r="AW58" i="17"/>
  <c r="AS59" i="17"/>
  <c r="Q61" i="17"/>
  <c r="AI70" i="17"/>
  <c r="AE70" i="17"/>
  <c r="W69" i="17"/>
  <c r="AO58" i="17"/>
  <c r="AL59" i="17"/>
  <c r="AW67" i="17"/>
  <c r="AS65" i="17"/>
  <c r="Q57" i="17"/>
  <c r="AE64" i="17"/>
  <c r="AL69" i="17"/>
  <c r="BA57" i="17"/>
  <c r="BA39" i="17"/>
  <c r="AW72" i="17"/>
  <c r="AS72" i="17"/>
  <c r="Q69" i="17"/>
  <c r="AI61" i="17"/>
  <c r="AE59" i="17"/>
  <c r="F16" i="17"/>
  <c r="BL16" i="17" s="1"/>
  <c r="F104" i="17"/>
  <c r="BL104" i="17" s="1"/>
  <c r="F105" i="17"/>
  <c r="BL105" i="17" s="1"/>
  <c r="X110" i="19"/>
  <c r="BH85" i="27"/>
  <c r="BH107" i="27"/>
  <c r="BI81" i="27"/>
  <c r="EC29" i="27"/>
  <c r="AG116" i="17"/>
  <c r="U114" i="19"/>
  <c r="ED20" i="27"/>
  <c r="EK20" i="27" s="1"/>
  <c r="T105" i="19"/>
  <c r="BI85" i="27"/>
  <c r="U107" i="19"/>
  <c r="W136" i="19"/>
  <c r="EC47" i="27"/>
  <c r="X93" i="19"/>
  <c r="X107" i="19"/>
  <c r="BK99" i="27"/>
  <c r="DP47" i="27"/>
  <c r="Q116" i="17"/>
  <c r="BI78" i="27"/>
  <c r="ED9" i="27"/>
  <c r="EK9" i="27" s="1"/>
  <c r="AC116" i="17"/>
  <c r="T114" i="19"/>
  <c r="DP33" i="27"/>
  <c r="BH76" i="27"/>
  <c r="DM51" i="27"/>
  <c r="DN51" i="27" s="1"/>
  <c r="X134" i="19"/>
  <c r="N116" i="17"/>
  <c r="DM45" i="27"/>
  <c r="DN45" i="27" s="1"/>
  <c r="BI107" i="27"/>
  <c r="T87" i="19"/>
  <c r="BW32" i="27"/>
  <c r="CO32" i="27" s="1"/>
  <c r="BG56" i="27"/>
  <c r="BK77" i="27"/>
  <c r="AP116" i="17"/>
  <c r="BF102" i="27"/>
  <c r="BJ74" i="27"/>
  <c r="ED11" i="27"/>
  <c r="EK11" i="27" s="1"/>
  <c r="T131" i="19"/>
  <c r="BH104" i="27"/>
  <c r="DP42" i="27"/>
  <c r="DM4" i="27"/>
  <c r="DN4" i="27" s="1"/>
  <c r="T119" i="19"/>
  <c r="DP22" i="27"/>
  <c r="EB19" i="27"/>
  <c r="EM19" i="27" s="1"/>
  <c r="DP19" i="27"/>
  <c r="BH71" i="27"/>
  <c r="T100" i="19"/>
  <c r="DO11" i="27"/>
  <c r="S91" i="19"/>
  <c r="BK56" i="27"/>
  <c r="EE20" i="27"/>
  <c r="EJ20" i="27" s="1"/>
  <c r="DM9" i="27"/>
  <c r="DN9" i="27" s="1"/>
  <c r="R116" i="17"/>
  <c r="DM38" i="27"/>
  <c r="DN38" i="27" s="1"/>
  <c r="EB16" i="27"/>
  <c r="V113" i="19"/>
  <c r="Y113" i="19" s="1"/>
  <c r="DO32" i="27"/>
  <c r="S113" i="19"/>
  <c r="U100" i="19"/>
  <c r="EB36" i="27"/>
  <c r="EM36" i="27" s="1"/>
  <c r="DP36" i="27"/>
  <c r="BH91" i="27"/>
  <c r="T120" i="19"/>
  <c r="ED25" i="27"/>
  <c r="EK25" i="27" s="1"/>
  <c r="W103" i="19"/>
  <c r="BF84" i="27"/>
  <c r="BS32" i="27"/>
  <c r="DZ32" i="27"/>
  <c r="EO32" i="27" s="1"/>
  <c r="BQ32" i="27"/>
  <c r="EA30" i="27"/>
  <c r="DO30" i="27"/>
  <c r="BG82" i="27"/>
  <c r="DP13" i="27"/>
  <c r="T93" i="19"/>
  <c r="BH63" i="27"/>
  <c r="EE34" i="27"/>
  <c r="EJ34" i="27" s="1"/>
  <c r="BK87" i="27"/>
  <c r="BX32" i="27"/>
  <c r="CP32" i="27" s="1"/>
  <c r="BH81" i="27"/>
  <c r="DP29" i="27"/>
  <c r="EC22" i="27"/>
  <c r="EL22" i="27" s="1"/>
  <c r="X103" i="19"/>
  <c r="BI74" i="27"/>
  <c r="DM29" i="27"/>
  <c r="DN29" i="27" s="1"/>
  <c r="AL116" i="17"/>
  <c r="T132" i="19"/>
  <c r="DP43" i="27"/>
  <c r="EB14" i="27"/>
  <c r="EM14" i="27" s="1"/>
  <c r="W95" i="19"/>
  <c r="T95" i="19"/>
  <c r="DP14" i="27"/>
  <c r="BH65" i="27"/>
  <c r="V98" i="19"/>
  <c r="BG69" i="27"/>
  <c r="BF82" i="27"/>
  <c r="BS30" i="27"/>
  <c r="CK30" i="27" s="1"/>
  <c r="X136" i="19"/>
  <c r="AA136" i="19" s="1"/>
  <c r="T113" i="19"/>
  <c r="T111" i="19"/>
  <c r="EA23" i="27"/>
  <c r="EN23" i="27" s="1"/>
  <c r="BG75" i="27"/>
  <c r="V104" i="19"/>
  <c r="DZ11" i="27"/>
  <c r="EO11" i="27" s="1"/>
  <c r="BF61" i="27"/>
  <c r="BT22" i="27"/>
  <c r="EA27" i="27"/>
  <c r="DO27" i="27"/>
  <c r="BG79" i="27"/>
  <c r="V108" i="19"/>
  <c r="S108" i="19"/>
  <c r="EC14" i="27"/>
  <c r="X95" i="19"/>
  <c r="U95" i="19"/>
  <c r="BI65" i="27"/>
  <c r="AI116" i="17"/>
  <c r="DM26" i="27"/>
  <c r="DN26" i="27" s="1"/>
  <c r="S116" i="17"/>
  <c r="DZ12" i="27"/>
  <c r="EO12" i="27" s="1"/>
  <c r="BF62" i="27"/>
  <c r="EA28" i="27"/>
  <c r="DO28" i="27"/>
  <c r="V109" i="19"/>
  <c r="BG80" i="27"/>
  <c r="S109" i="19"/>
  <c r="EB18" i="27"/>
  <c r="EM18" i="27" s="1"/>
  <c r="BH70" i="27"/>
  <c r="DP18" i="27"/>
  <c r="W99" i="19"/>
  <c r="T99" i="19"/>
  <c r="DZ10" i="27"/>
  <c r="EO10" i="27" s="1"/>
  <c r="BF60" i="27"/>
  <c r="CF10" i="27"/>
  <c r="CX10" i="27" s="1"/>
  <c r="BP10" i="27"/>
  <c r="CB10" i="27"/>
  <c r="CT10" i="27" s="1"/>
  <c r="ED31" i="27"/>
  <c r="EK31" i="27" s="1"/>
  <c r="BJ83" i="27"/>
  <c r="DM39" i="27"/>
  <c r="DN39" i="27"/>
  <c r="AV116" i="17"/>
  <c r="DM19" i="27"/>
  <c r="DN19" i="27" s="1"/>
  <c r="BR39" i="27"/>
  <c r="CJ39" i="27" s="1"/>
  <c r="BF96" i="27"/>
  <c r="BQ96" i="27" s="1"/>
  <c r="CB39" i="27"/>
  <c r="CT39" i="27" s="1"/>
  <c r="BV39" i="27"/>
  <c r="CN39" i="27" s="1"/>
  <c r="CD39" i="27"/>
  <c r="CV39" i="27" s="1"/>
  <c r="BS39" i="27"/>
  <c r="CK39" i="27" s="1"/>
  <c r="BO39" i="27"/>
  <c r="EA31" i="27"/>
  <c r="EN31" i="27" s="1"/>
  <c r="BG83" i="27"/>
  <c r="V112" i="19"/>
  <c r="S112" i="19"/>
  <c r="DO31" i="27"/>
  <c r="S136" i="19"/>
  <c r="BG109" i="27"/>
  <c r="DO47" i="27"/>
  <c r="EB17" i="27"/>
  <c r="EM17" i="27" s="1"/>
  <c r="BH69" i="27"/>
  <c r="DP17" i="27"/>
  <c r="T98" i="19"/>
  <c r="EA22" i="27"/>
  <c r="EN22" i="27" s="1"/>
  <c r="V103" i="19"/>
  <c r="DO22" i="27"/>
  <c r="BG74" i="27"/>
  <c r="S103" i="19"/>
  <c r="V89" i="19"/>
  <c r="EA9" i="27"/>
  <c r="EN9" i="27" s="1"/>
  <c r="DO9" i="27"/>
  <c r="S89" i="19"/>
  <c r="BG59" i="27"/>
  <c r="EB46" i="27"/>
  <c r="EM46" i="27" s="1"/>
  <c r="W135" i="19"/>
  <c r="BH108" i="27"/>
  <c r="DP46" i="27"/>
  <c r="T135" i="19"/>
  <c r="EC49" i="27"/>
  <c r="BI112" i="27"/>
  <c r="X139" i="19"/>
  <c r="U139" i="19"/>
  <c r="DZ18" i="27"/>
  <c r="EO18" i="27" s="1"/>
  <c r="BR18" i="27"/>
  <c r="BV18" i="27"/>
  <c r="BZ18" i="27"/>
  <c r="CR18" i="27" s="1"/>
  <c r="BF70" i="27"/>
  <c r="CA18" i="27"/>
  <c r="CS18" i="27" s="1"/>
  <c r="EA10" i="27"/>
  <c r="S90" i="19"/>
  <c r="DO10" i="27"/>
  <c r="BG60" i="27"/>
  <c r="V90" i="19"/>
  <c r="EC17" i="27"/>
  <c r="U98" i="19"/>
  <c r="X98" i="19"/>
  <c r="AA98" i="19" s="1"/>
  <c r="BI69" i="27"/>
  <c r="V96" i="19"/>
  <c r="DM27" i="27"/>
  <c r="DN27" i="27" s="1"/>
  <c r="EB39" i="27"/>
  <c r="EM39" i="27" s="1"/>
  <c r="T125" i="19"/>
  <c r="W125" i="19"/>
  <c r="DP39" i="27"/>
  <c r="BH96" i="27"/>
  <c r="EC31" i="27"/>
  <c r="EL31" i="27" s="1"/>
  <c r="U112" i="19"/>
  <c r="BI83" i="27"/>
  <c r="X112" i="19"/>
  <c r="DZ47" i="27"/>
  <c r="EO47" i="27"/>
  <c r="BF109" i="27"/>
  <c r="BY47" i="27"/>
  <c r="CQ47" i="27" s="1"/>
  <c r="BN47" i="27"/>
  <c r="CG47" i="27" s="1"/>
  <c r="BP47" i="27"/>
  <c r="BR47" i="27"/>
  <c r="BZ47" i="27"/>
  <c r="CR47" i="27" s="1"/>
  <c r="CD47" i="27"/>
  <c r="CV47" i="27" s="1"/>
  <c r="CA47" i="27"/>
  <c r="CS47" i="27" s="1"/>
  <c r="BQ47" i="27"/>
  <c r="BS47" i="27"/>
  <c r="CK47" i="27" s="1"/>
  <c r="CE47" i="27"/>
  <c r="CW47" i="27" s="1"/>
  <c r="CC47" i="27"/>
  <c r="CU47" i="27" s="1"/>
  <c r="BV47" i="27"/>
  <c r="CN47" i="27" s="1"/>
  <c r="BO47" i="27"/>
  <c r="CH47" i="27" s="1"/>
  <c r="BW47" i="27"/>
  <c r="CO47" i="27" s="1"/>
  <c r="BT47" i="27"/>
  <c r="CL47" i="27" s="1"/>
  <c r="CF47" i="27"/>
  <c r="CX47" i="27" s="1"/>
  <c r="BX47" i="27"/>
  <c r="CP47" i="27" s="1"/>
  <c r="DZ17" i="27"/>
  <c r="EO17" i="27" s="1"/>
  <c r="BZ17" i="27"/>
  <c r="CR17" i="27" s="1"/>
  <c r="BS17" i="27"/>
  <c r="CK17" i="27" s="1"/>
  <c r="CA17" i="27"/>
  <c r="CS17" i="27" s="1"/>
  <c r="CC17" i="27"/>
  <c r="CU17" i="27"/>
  <c r="BO17" i="27"/>
  <c r="BR17" i="27"/>
  <c r="CJ17" i="27" s="1"/>
  <c r="CB17" i="27"/>
  <c r="CT17" i="27" s="1"/>
  <c r="BU17" i="27"/>
  <c r="CM17" i="27" s="1"/>
  <c r="CE17" i="27"/>
  <c r="CW17" i="27"/>
  <c r="BQ17" i="27"/>
  <c r="CI17" i="27" s="1"/>
  <c r="CD17" i="27"/>
  <c r="CV17" i="27" s="1"/>
  <c r="BF69" i="27"/>
  <c r="BP17" i="27"/>
  <c r="CF17" i="27"/>
  <c r="CX17" i="27" s="1"/>
  <c r="BX17" i="27"/>
  <c r="CP17" i="27" s="1"/>
  <c r="DZ29" i="27"/>
  <c r="EO29" i="27" s="1"/>
  <c r="BT29" i="27"/>
  <c r="CL29" i="27" s="1"/>
  <c r="BF81" i="27"/>
  <c r="BS29" i="27"/>
  <c r="CK29" i="27" s="1"/>
  <c r="BW29" i="27"/>
  <c r="CO29" i="27" s="1"/>
  <c r="CE29" i="27"/>
  <c r="CW29" i="27" s="1"/>
  <c r="CF29" i="27"/>
  <c r="CX29" i="27"/>
  <c r="BP29" i="27"/>
  <c r="BX29" i="27"/>
  <c r="CP29" i="27" s="1"/>
  <c r="CB29" i="27"/>
  <c r="CT29" i="27" s="1"/>
  <c r="BY29" i="27"/>
  <c r="CQ29" i="27"/>
  <c r="BN29" i="27"/>
  <c r="CG29" i="27" s="1"/>
  <c r="CD29" i="27"/>
  <c r="CV29" i="27" s="1"/>
  <c r="BU29" i="27"/>
  <c r="CM29" i="27"/>
  <c r="CC29" i="27"/>
  <c r="CU29" i="27" s="1"/>
  <c r="BV29" i="27"/>
  <c r="CN29" i="27" s="1"/>
  <c r="CA29" i="27"/>
  <c r="CS29" i="27" s="1"/>
  <c r="BR29" i="27"/>
  <c r="CJ29" i="27" s="1"/>
  <c r="BZ29" i="27"/>
  <c r="CR29" i="27" s="1"/>
  <c r="BO29" i="27"/>
  <c r="BQ29" i="27"/>
  <c r="CI29" i="27" s="1"/>
  <c r="EA13" i="27"/>
  <c r="V93" i="19"/>
  <c r="BG63" i="27"/>
  <c r="DO13" i="27"/>
  <c r="S93" i="19"/>
  <c r="W108" i="19"/>
  <c r="EB27" i="27"/>
  <c r="EM27" i="27"/>
  <c r="DP27" i="27"/>
  <c r="BH79" i="27"/>
  <c r="T108" i="19"/>
  <c r="EA25" i="27"/>
  <c r="BG77" i="27"/>
  <c r="S106" i="19"/>
  <c r="DO25" i="27"/>
  <c r="V106" i="19"/>
  <c r="DP28" i="27"/>
  <c r="V99" i="19"/>
  <c r="EB26" i="27"/>
  <c r="EM26" i="27" s="1"/>
  <c r="DP26" i="27"/>
  <c r="BH78" i="27"/>
  <c r="T107" i="19"/>
  <c r="W107" i="19"/>
  <c r="EA39" i="27"/>
  <c r="S125" i="19"/>
  <c r="DO39" i="27"/>
  <c r="V125" i="19"/>
  <c r="BG96" i="27"/>
  <c r="DZ31" i="27"/>
  <c r="BO31" i="27"/>
  <c r="BZ31" i="27"/>
  <c r="CR31" i="27" s="1"/>
  <c r="BN31" i="27"/>
  <c r="CC31" i="27"/>
  <c r="CU31" i="27" s="1"/>
  <c r="CA31" i="27"/>
  <c r="CS31" i="27" s="1"/>
  <c r="BF83" i="27"/>
  <c r="BV31" i="27"/>
  <c r="BR31" i="27"/>
  <c r="CD31" i="27"/>
  <c r="CV31" i="27" s="1"/>
  <c r="CB31" i="27"/>
  <c r="CT31" i="27" s="1"/>
  <c r="BU31" i="27"/>
  <c r="BQ31" i="27"/>
  <c r="BT31" i="27"/>
  <c r="CF31" i="27"/>
  <c r="CX31" i="27"/>
  <c r="BP31" i="27"/>
  <c r="CH31" i="27" s="1"/>
  <c r="BY31" i="27"/>
  <c r="CQ31" i="27" s="1"/>
  <c r="CE31" i="27"/>
  <c r="CW31" i="27"/>
  <c r="BX31" i="27"/>
  <c r="CP31" i="27" s="1"/>
  <c r="BS31" i="27"/>
  <c r="BW31" i="27"/>
  <c r="CO31" i="27"/>
  <c r="CD11" i="27"/>
  <c r="CV11" i="27" s="1"/>
  <c r="EA29" i="27"/>
  <c r="EN29" i="27" s="1"/>
  <c r="V110" i="19"/>
  <c r="S110" i="19"/>
  <c r="DO29" i="27"/>
  <c r="BG81" i="27"/>
  <c r="DZ13" i="27"/>
  <c r="EO13" i="27" s="1"/>
  <c r="BF63" i="27"/>
  <c r="BN13" i="27"/>
  <c r="V110" i="17" s="1"/>
  <c r="CF13" i="27"/>
  <c r="CX13" i="27" s="1"/>
  <c r="CC13" i="27"/>
  <c r="CU13" i="27" s="1"/>
  <c r="BV13" i="27"/>
  <c r="CN13" i="27" s="1"/>
  <c r="BZ13" i="27"/>
  <c r="CR13" i="27" s="1"/>
  <c r="CA13" i="27"/>
  <c r="CS13" i="27"/>
  <c r="BT13" i="27"/>
  <c r="CL13" i="27" s="1"/>
  <c r="BP13" i="27"/>
  <c r="CB13" i="27"/>
  <c r="CT13" i="27"/>
  <c r="BU13" i="27"/>
  <c r="CM13" i="27" s="1"/>
  <c r="CD13" i="27"/>
  <c r="CV13" i="27" s="1"/>
  <c r="BS13" i="27"/>
  <c r="CK13" i="27" s="1"/>
  <c r="BX13" i="27"/>
  <c r="CP13" i="27" s="1"/>
  <c r="BR13" i="27"/>
  <c r="CJ13" i="27" s="1"/>
  <c r="BQ13" i="27"/>
  <c r="CH13" i="27" s="1"/>
  <c r="BW13" i="27"/>
  <c r="CO13" i="27" s="1"/>
  <c r="BO13" i="27"/>
  <c r="CE13" i="27"/>
  <c r="CW13" i="27" s="1"/>
  <c r="BY13" i="27"/>
  <c r="CQ13" i="27" s="1"/>
  <c r="DZ27" i="27"/>
  <c r="EO27" i="27" s="1"/>
  <c r="BS27" i="27"/>
  <c r="CK27" i="27" s="1"/>
  <c r="BF79" i="27"/>
  <c r="BT27" i="27"/>
  <c r="CL27" i="27" s="1"/>
  <c r="BV27" i="27"/>
  <c r="CN27" i="27" s="1"/>
  <c r="CB27" i="27"/>
  <c r="CT27" i="27" s="1"/>
  <c r="CE27" i="27"/>
  <c r="CW27" i="27" s="1"/>
  <c r="BZ27" i="27"/>
  <c r="CR27" i="27" s="1"/>
  <c r="BQ27" i="27"/>
  <c r="CI27" i="27" s="1"/>
  <c r="BW27" i="27"/>
  <c r="CO27" i="27" s="1"/>
  <c r="BP27" i="27"/>
  <c r="CA27" i="27"/>
  <c r="CS27" i="27" s="1"/>
  <c r="CD27" i="27"/>
  <c r="CV27" i="27" s="1"/>
  <c r="BR27" i="27"/>
  <c r="CJ27" i="27" s="1"/>
  <c r="BU27" i="27"/>
  <c r="CM27" i="27" s="1"/>
  <c r="CF27" i="27"/>
  <c r="CX27" i="27" s="1"/>
  <c r="CC27" i="27"/>
  <c r="CU27" i="27" s="1"/>
  <c r="BY27" i="27"/>
  <c r="CQ27" i="27" s="1"/>
  <c r="BO27" i="27"/>
  <c r="BX27" i="27"/>
  <c r="CP27" i="27" s="1"/>
  <c r="BN27" i="27"/>
  <c r="DZ14" i="27"/>
  <c r="EO14" i="27" s="1"/>
  <c r="CA14" i="27"/>
  <c r="CS14" i="27" s="1"/>
  <c r="BF65" i="27"/>
  <c r="BH62" i="27"/>
  <c r="DZ28" i="27"/>
  <c r="EO28" i="27" s="1"/>
  <c r="CF28" i="27"/>
  <c r="CX28" i="27" s="1"/>
  <c r="BO28" i="27"/>
  <c r="BF80" i="27"/>
  <c r="BQ28" i="27"/>
  <c r="CI28" i="27" s="1"/>
  <c r="EC18" i="27"/>
  <c r="EL18" i="27" s="1"/>
  <c r="U99" i="19"/>
  <c r="X99" i="19"/>
  <c r="BI70" i="27"/>
  <c r="EB10" i="27"/>
  <c r="BH60" i="27"/>
  <c r="DP10" i="27"/>
  <c r="W90" i="19"/>
  <c r="T90" i="19"/>
  <c r="BW26" i="27"/>
  <c r="CO26" i="27" s="1"/>
  <c r="U96" i="19"/>
  <c r="AT116" i="17"/>
  <c r="DM37" i="27"/>
  <c r="DN37" i="27" s="1"/>
  <c r="DM10" i="27"/>
  <c r="DN10" i="27" s="1"/>
  <c r="Y116" i="17"/>
  <c r="EB48" i="27"/>
  <c r="EM48" i="27" s="1"/>
  <c r="T137" i="19"/>
  <c r="DP48" i="27"/>
  <c r="W137" i="19"/>
  <c r="BH110" i="27"/>
  <c r="EB37" i="27"/>
  <c r="EM37" i="27" s="1"/>
  <c r="T122" i="19"/>
  <c r="BH93" i="27"/>
  <c r="W122" i="19"/>
  <c r="DP37" i="27"/>
  <c r="EB31" i="27"/>
  <c r="EM31" i="27" s="1"/>
  <c r="DP31" i="27"/>
  <c r="T112" i="19"/>
  <c r="W112" i="19"/>
  <c r="BH83" i="27"/>
  <c r="DZ24" i="27"/>
  <c r="EO24" i="27" s="1"/>
  <c r="BY24" i="27"/>
  <c r="CA24" i="27"/>
  <c r="CS24" i="27" s="1"/>
  <c r="CF24" i="27"/>
  <c r="CX24" i="27" s="1"/>
  <c r="BF76" i="27"/>
  <c r="BU24" i="27"/>
  <c r="BV24" i="27"/>
  <c r="BR24" i="27"/>
  <c r="BQ24" i="27"/>
  <c r="CB24" i="27"/>
  <c r="CT24" i="27" s="1"/>
  <c r="EC44" i="27"/>
  <c r="BI106" i="27"/>
  <c r="U133" i="19"/>
  <c r="X133" i="19"/>
  <c r="DZ6" i="27"/>
  <c r="EO6" i="27" s="1"/>
  <c r="BF56" i="27"/>
  <c r="S120" i="19"/>
  <c r="DO36" i="27"/>
  <c r="EA16" i="27"/>
  <c r="EN16" i="27" s="1"/>
  <c r="V97" i="19"/>
  <c r="S97" i="19"/>
  <c r="DO16" i="27"/>
  <c r="BG68" i="27"/>
  <c r="EC48" i="27"/>
  <c r="U137" i="19"/>
  <c r="BI110" i="27"/>
  <c r="X137" i="19"/>
  <c r="DZ45" i="27"/>
  <c r="EO45" i="27" s="1"/>
  <c r="CA45" i="27"/>
  <c r="CS45" i="27" s="1"/>
  <c r="BV45" i="27"/>
  <c r="CN45" i="27" s="1"/>
  <c r="BN45" i="27"/>
  <c r="BB111" i="17" s="1"/>
  <c r="BT45" i="27"/>
  <c r="CL45" i="27" s="1"/>
  <c r="BP45" i="27"/>
  <c r="BO45" i="27"/>
  <c r="CC45" i="27"/>
  <c r="CU45" i="27" s="1"/>
  <c r="CB45" i="27"/>
  <c r="CT45" i="27" s="1"/>
  <c r="CE45" i="27"/>
  <c r="CW45" i="27" s="1"/>
  <c r="BS45" i="27"/>
  <c r="CK45" i="27"/>
  <c r="CF45" i="27"/>
  <c r="CX45" i="27" s="1"/>
  <c r="BF107" i="27"/>
  <c r="BW45" i="27"/>
  <c r="CO45" i="27" s="1"/>
  <c r="BY45" i="27"/>
  <c r="CQ45" i="27" s="1"/>
  <c r="BU45" i="27"/>
  <c r="CM45" i="27" s="1"/>
  <c r="BZ45" i="27"/>
  <c r="CR45" i="27" s="1"/>
  <c r="ED43" i="27"/>
  <c r="EK43" i="27" s="1"/>
  <c r="BJ105" i="27"/>
  <c r="DZ38" i="27"/>
  <c r="EO38" i="27" s="1"/>
  <c r="CD38" i="27"/>
  <c r="CV38" i="27" s="1"/>
  <c r="BF94" i="27"/>
  <c r="EC7" i="27"/>
  <c r="X87" i="19"/>
  <c r="U87" i="19"/>
  <c r="EC25" i="27"/>
  <c r="BI77" i="27"/>
  <c r="BQ77" i="27" s="1"/>
  <c r="U106" i="19"/>
  <c r="X106" i="19"/>
  <c r="AA106" i="19" s="1"/>
  <c r="EC42" i="27"/>
  <c r="X131" i="19"/>
  <c r="U131" i="19"/>
  <c r="BI104" i="27"/>
  <c r="EC20" i="27"/>
  <c r="BI72" i="27"/>
  <c r="U101" i="19"/>
  <c r="X101" i="19"/>
  <c r="DO12" i="27"/>
  <c r="BG62" i="27"/>
  <c r="X102" i="19"/>
  <c r="BI73" i="27"/>
  <c r="DZ37" i="27"/>
  <c r="EO37" i="27" s="1"/>
  <c r="BY37" i="27"/>
  <c r="CQ37" i="27" s="1"/>
  <c r="BF93" i="27"/>
  <c r="BO37" i="27"/>
  <c r="BQ37" i="27"/>
  <c r="CI37" i="27" s="1"/>
  <c r="BH53" i="27"/>
  <c r="DP4" i="27"/>
  <c r="EC43" i="27"/>
  <c r="BI105" i="27"/>
  <c r="X132" i="19"/>
  <c r="U132" i="19"/>
  <c r="W84" i="19"/>
  <c r="EB5" i="27"/>
  <c r="EM5" i="27" s="1"/>
  <c r="DP5" i="27"/>
  <c r="BH54" i="27"/>
  <c r="T84" i="19"/>
  <c r="EA33" i="27"/>
  <c r="BP33" i="27"/>
  <c r="BG85" i="27"/>
  <c r="S114" i="19"/>
  <c r="BZ33" i="27"/>
  <c r="CR33" i="27" s="1"/>
  <c r="BS33" i="27"/>
  <c r="CK33" i="27" s="1"/>
  <c r="V114" i="19"/>
  <c r="BU33" i="27"/>
  <c r="CM33" i="27" s="1"/>
  <c r="DO33" i="27"/>
  <c r="EA24" i="27"/>
  <c r="EN24" i="27" s="1"/>
  <c r="BG76" i="27"/>
  <c r="V105" i="19"/>
  <c r="DO24" i="27"/>
  <c r="S105" i="19"/>
  <c r="EC24" i="27"/>
  <c r="EL24" i="27" s="1"/>
  <c r="U105" i="19"/>
  <c r="EC6" i="27"/>
  <c r="X86" i="19"/>
  <c r="AA86" i="19" s="1"/>
  <c r="U86" i="19"/>
  <c r="BI56" i="27"/>
  <c r="EA42" i="27"/>
  <c r="EN42" i="27" s="1"/>
  <c r="S131" i="19"/>
  <c r="DO42" i="27"/>
  <c r="V131" i="19"/>
  <c r="BG104" i="27"/>
  <c r="DZ36" i="27"/>
  <c r="EO36" i="27" s="1"/>
  <c r="BF91" i="27"/>
  <c r="EA19" i="27"/>
  <c r="V100" i="19"/>
  <c r="S100" i="19"/>
  <c r="DO19" i="27"/>
  <c r="BG71" i="27"/>
  <c r="DZ16" i="27"/>
  <c r="EO16" i="27" s="1"/>
  <c r="BZ16" i="27"/>
  <c r="CR16" i="27" s="1"/>
  <c r="BY16" i="27"/>
  <c r="CQ16" i="27"/>
  <c r="BQ16" i="27"/>
  <c r="CA16" i="27"/>
  <c r="CS16" i="27" s="1"/>
  <c r="BF68" i="27"/>
  <c r="CC16" i="27"/>
  <c r="CU16" i="27" s="1"/>
  <c r="BS16" i="27"/>
  <c r="BU16" i="27"/>
  <c r="BW16" i="27"/>
  <c r="BT16" i="27"/>
  <c r="BR16" i="27"/>
  <c r="CD16" i="27"/>
  <c r="CV16" i="27" s="1"/>
  <c r="CB16" i="27"/>
  <c r="CT16" i="27" s="1"/>
  <c r="BN16" i="27"/>
  <c r="Y110" i="17" s="1"/>
  <c r="CE16" i="27"/>
  <c r="CW16" i="27" s="1"/>
  <c r="BV16" i="27"/>
  <c r="EC12" i="27"/>
  <c r="X92" i="19"/>
  <c r="BI62" i="27"/>
  <c r="U92" i="19"/>
  <c r="EA48" i="27"/>
  <c r="BG110" i="27"/>
  <c r="V137" i="19"/>
  <c r="DO48" i="27"/>
  <c r="S137" i="19"/>
  <c r="DZ21" i="27"/>
  <c r="EO21" i="27"/>
  <c r="CD21" i="27"/>
  <c r="CV21" i="27" s="1"/>
  <c r="BF73" i="27"/>
  <c r="EA37" i="27"/>
  <c r="EN37" i="27" s="1"/>
  <c r="V122" i="19"/>
  <c r="S122" i="19"/>
  <c r="BG93" i="27"/>
  <c r="DO37" i="27"/>
  <c r="EA4" i="27"/>
  <c r="EN4" i="27" s="1"/>
  <c r="S83" i="19"/>
  <c r="DO4" i="27"/>
  <c r="V83" i="19"/>
  <c r="BG53" i="27"/>
  <c r="EA43" i="27"/>
  <c r="EN43" i="27" s="1"/>
  <c r="V132" i="19"/>
  <c r="BG105" i="27"/>
  <c r="S132" i="19"/>
  <c r="DO43" i="27"/>
  <c r="EC5" i="27"/>
  <c r="EL5" i="27" s="1"/>
  <c r="X84" i="19"/>
  <c r="BI54" i="27"/>
  <c r="U84" i="19"/>
  <c r="DZ48" i="27"/>
  <c r="EO48" i="27" s="1"/>
  <c r="BN48" i="27"/>
  <c r="BE110" i="17" s="1"/>
  <c r="BO48" i="27"/>
  <c r="BF110" i="27"/>
  <c r="CB48" i="27"/>
  <c r="CT48" i="27" s="1"/>
  <c r="BT48" i="27"/>
  <c r="CL48" i="27" s="1"/>
  <c r="CA48" i="27"/>
  <c r="CS48" i="27" s="1"/>
  <c r="BS48" i="27"/>
  <c r="BY48" i="27"/>
  <c r="CQ48" i="27" s="1"/>
  <c r="BW48" i="27"/>
  <c r="CO48" i="27" s="1"/>
  <c r="BU48" i="27"/>
  <c r="CM48" i="27" s="1"/>
  <c r="BX48" i="27"/>
  <c r="CP48" i="27" s="1"/>
  <c r="BP48" i="27"/>
  <c r="BQ48" i="27"/>
  <c r="CE48" i="27"/>
  <c r="CW48" i="27" s="1"/>
  <c r="BV48" i="27"/>
  <c r="CN48" i="27" s="1"/>
  <c r="CD48" i="27"/>
  <c r="CV48" i="27" s="1"/>
  <c r="BZ48" i="27"/>
  <c r="CR48" i="27" s="1"/>
  <c r="CC48" i="27"/>
  <c r="CU48" i="27" s="1"/>
  <c r="BR48" i="27"/>
  <c r="CF48" i="27"/>
  <c r="CX48" i="27" s="1"/>
  <c r="EA21" i="27"/>
  <c r="EN21" i="27" s="1"/>
  <c r="V102" i="19"/>
  <c r="BG73" i="27"/>
  <c r="S102" i="19"/>
  <c r="EA46" i="27"/>
  <c r="S135" i="19"/>
  <c r="DZ35" i="27"/>
  <c r="EO35" i="27" s="1"/>
  <c r="BN35" i="27"/>
  <c r="DI35" i="27" s="1"/>
  <c r="AR117" i="17" s="1"/>
  <c r="BF90" i="27"/>
  <c r="BZ35" i="27"/>
  <c r="CR35" i="27" s="1"/>
  <c r="BR35" i="27"/>
  <c r="CJ35" i="27" s="1"/>
  <c r="BW35" i="27"/>
  <c r="CO35" i="27" s="1"/>
  <c r="BU35" i="27"/>
  <c r="CM35" i="27" s="1"/>
  <c r="CE35" i="27"/>
  <c r="CW35" i="27" s="1"/>
  <c r="CB35" i="27"/>
  <c r="CT35" i="27" s="1"/>
  <c r="CC35" i="27"/>
  <c r="CU35" i="27"/>
  <c r="BV35" i="27"/>
  <c r="CN35" i="27" s="1"/>
  <c r="BP35" i="27"/>
  <c r="BT35" i="27"/>
  <c r="CL35" i="27"/>
  <c r="CF35" i="27"/>
  <c r="CX35" i="27" s="1"/>
  <c r="CD35" i="27"/>
  <c r="CV35" i="27" s="1"/>
  <c r="BY35" i="27"/>
  <c r="CQ35" i="27" s="1"/>
  <c r="BQ35" i="27"/>
  <c r="BS35" i="27"/>
  <c r="CK35" i="27" s="1"/>
  <c r="CA35" i="27"/>
  <c r="CS35" i="27" s="1"/>
  <c r="BO35" i="27"/>
  <c r="BX35" i="27"/>
  <c r="CP35" i="27" s="1"/>
  <c r="DZ20" i="27"/>
  <c r="EO20" i="27" s="1"/>
  <c r="DZ19" i="27"/>
  <c r="EO19" i="27" s="1"/>
  <c r="BP19" i="27"/>
  <c r="CH19" i="27" s="1"/>
  <c r="BN19" i="27"/>
  <c r="AB110" i="17" s="1"/>
  <c r="CE19" i="27"/>
  <c r="CW19" i="27" s="1"/>
  <c r="BF71" i="27"/>
  <c r="BS19" i="27"/>
  <c r="CK19" i="27" s="1"/>
  <c r="BW19" i="27"/>
  <c r="CO19" i="27" s="1"/>
  <c r="BQ19" i="27"/>
  <c r="CI19" i="27" s="1"/>
  <c r="BR19" i="27"/>
  <c r="CJ19" i="27" s="1"/>
  <c r="BX19" i="27"/>
  <c r="CP19" i="27" s="1"/>
  <c r="EC16" i="27"/>
  <c r="ER16" i="27" s="1"/>
  <c r="X97" i="19"/>
  <c r="U97" i="19"/>
  <c r="BI68" i="27"/>
  <c r="T123" i="19"/>
  <c r="W123" i="19"/>
  <c r="EC4" i="27"/>
  <c r="EL4" i="27" s="1"/>
  <c r="BI53" i="27"/>
  <c r="U83" i="19"/>
  <c r="X83" i="19"/>
  <c r="S87" i="19"/>
  <c r="DZ25" i="27"/>
  <c r="EO25" i="27" s="1"/>
  <c r="BP25" i="27"/>
  <c r="BT25" i="27"/>
  <c r="BV25" i="27"/>
  <c r="BQ25" i="27"/>
  <c r="BY25" i="27"/>
  <c r="CB25" i="27"/>
  <c r="CT25" i="27" s="1"/>
  <c r="BS25" i="27"/>
  <c r="BW25" i="27"/>
  <c r="BF77" i="27"/>
  <c r="CC25" i="27"/>
  <c r="CU25" i="27" s="1"/>
  <c r="CF25" i="27"/>
  <c r="CX25" i="27" s="1"/>
  <c r="CE25" i="27"/>
  <c r="CW25" i="27" s="1"/>
  <c r="BO25" i="27"/>
  <c r="CA25" i="27"/>
  <c r="CD25" i="27"/>
  <c r="CV25" i="27" s="1"/>
  <c r="BN25" i="27"/>
  <c r="AH111" i="17" s="1"/>
  <c r="BU25" i="27"/>
  <c r="DJ25" i="27" s="1"/>
  <c r="BZ25" i="27"/>
  <c r="BX25" i="27"/>
  <c r="BR25" i="27"/>
  <c r="CJ25" i="27" s="1"/>
  <c r="S140" i="19"/>
  <c r="DZ44" i="27"/>
  <c r="EO44" i="27" s="1"/>
  <c r="BF106" i="27"/>
  <c r="DZ9" i="27"/>
  <c r="BN9" i="27"/>
  <c r="R110" i="17" s="1"/>
  <c r="BF59" i="27"/>
  <c r="BQ9" i="27"/>
  <c r="DZ46" i="27"/>
  <c r="EO46" i="27"/>
  <c r="BU46" i="27"/>
  <c r="CM46" i="27" s="1"/>
  <c r="BF108" i="27"/>
  <c r="BN46" i="27"/>
  <c r="BC110" i="17" s="1"/>
  <c r="CE46" i="27"/>
  <c r="CW46" i="27" s="1"/>
  <c r="CF46" i="27"/>
  <c r="CX46" i="27" s="1"/>
  <c r="BY46" i="27"/>
  <c r="CQ46" i="27" s="1"/>
  <c r="BV46" i="27"/>
  <c r="CN46" i="27" s="1"/>
  <c r="CD46" i="27"/>
  <c r="CV46" i="27" s="1"/>
  <c r="BS46" i="27"/>
  <c r="CK46" i="27" s="1"/>
  <c r="BT46" i="27"/>
  <c r="CL46" i="27"/>
  <c r="BP46" i="27"/>
  <c r="BZ46" i="27"/>
  <c r="CR46" i="27" s="1"/>
  <c r="EA35" i="27"/>
  <c r="EN35" i="27" s="1"/>
  <c r="BG90" i="27"/>
  <c r="S119" i="19"/>
  <c r="DO35" i="27"/>
  <c r="V119" i="19"/>
  <c r="EA20" i="27"/>
  <c r="BG72" i="27"/>
  <c r="S101" i="19"/>
  <c r="DO20" i="27"/>
  <c r="V101" i="19"/>
  <c r="EA45" i="27"/>
  <c r="BG107" i="27"/>
  <c r="BO107" i="27" s="1"/>
  <c r="S134" i="19"/>
  <c r="DO45" i="27"/>
  <c r="V134" i="19"/>
  <c r="DZ5" i="27"/>
  <c r="EO5" i="27" s="1"/>
  <c r="EA38" i="27"/>
  <c r="DZ43" i="27"/>
  <c r="EO43" i="27" s="1"/>
  <c r="BF105" i="27"/>
  <c r="CC43" i="27"/>
  <c r="BO43" i="27"/>
  <c r="CG43" i="27" s="1"/>
  <c r="BW43" i="27"/>
  <c r="BX43" i="27"/>
  <c r="BR43" i="27"/>
  <c r="BS43" i="27"/>
  <c r="BQ43" i="27"/>
  <c r="CI43" i="27" s="1"/>
  <c r="BP43" i="27"/>
  <c r="CD43" i="27"/>
  <c r="CV43" i="27" s="1"/>
  <c r="BY43" i="27"/>
  <c r="CQ43" i="27" s="1"/>
  <c r="CE43" i="27"/>
  <c r="CW43" i="27" s="1"/>
  <c r="BV43" i="27"/>
  <c r="BN43" i="27"/>
  <c r="AZ111" i="17" s="1"/>
  <c r="CA43" i="27"/>
  <c r="BU43" i="27"/>
  <c r="CM43" i="27" s="1"/>
  <c r="BT43" i="27"/>
  <c r="CF43" i="27"/>
  <c r="CX43" i="27" s="1"/>
  <c r="CB43" i="27"/>
  <c r="CT43" i="27" s="1"/>
  <c r="BZ43" i="27"/>
  <c r="CR43" i="27" s="1"/>
  <c r="DZ7" i="27"/>
  <c r="EO7" i="27" s="1"/>
  <c r="BX7" i="27"/>
  <c r="CA7" i="27"/>
  <c r="CC7" i="27"/>
  <c r="ED5" i="27"/>
  <c r="EK5" i="27" s="1"/>
  <c r="EN30" i="27"/>
  <c r="BO69" i="27"/>
  <c r="V111" i="17"/>
  <c r="EN13" i="27"/>
  <c r="EL17" i="27"/>
  <c r="BN96" i="27"/>
  <c r="EL14" i="27"/>
  <c r="CJ48" i="27"/>
  <c r="AJ111" i="17"/>
  <c r="AJ110" i="17"/>
  <c r="CG27" i="27"/>
  <c r="EN39" i="27"/>
  <c r="AN110" i="17"/>
  <c r="DI31" i="27"/>
  <c r="AN111" i="17"/>
  <c r="AL111" i="17"/>
  <c r="AL110" i="17"/>
  <c r="EN10" i="27"/>
  <c r="CG46" i="27"/>
  <c r="BO110" i="27"/>
  <c r="BN107" i="27"/>
  <c r="BP107" i="27" s="1"/>
  <c r="AZ110" i="17"/>
  <c r="EN45" i="27"/>
  <c r="EO9" i="27"/>
  <c r="CM25" i="27"/>
  <c r="BO77" i="27"/>
  <c r="CH25" i="27"/>
  <c r="EN46" i="27"/>
  <c r="BO73" i="27"/>
  <c r="CJ16" i="27"/>
  <c r="ER6" i="27"/>
  <c r="EL6" i="27"/>
  <c r="EL20" i="27"/>
  <c r="CI48" i="27"/>
  <c r="CG48" i="27"/>
  <c r="EL12" i="27"/>
  <c r="EN33" i="27"/>
  <c r="EL25" i="27"/>
  <c r="ER25" i="27"/>
  <c r="EL7" i="27"/>
  <c r="EL44" i="27"/>
  <c r="ER35" i="27"/>
  <c r="AR110" i="17"/>
  <c r="CH48" i="27"/>
  <c r="CK16" i="27"/>
  <c r="EL43" i="27"/>
  <c r="CG45" i="27"/>
  <c r="BB110" i="17"/>
  <c r="EL48" i="27"/>
  <c r="AN117" i="17"/>
  <c r="AH123" i="17"/>
  <c r="AM145" i="17" l="1"/>
  <c r="AM9" i="17"/>
  <c r="AK113" i="17"/>
  <c r="AK9" i="17"/>
  <c r="S108" i="17"/>
  <c r="G9" i="28"/>
  <c r="AY56" i="17"/>
  <c r="AY9" i="17"/>
  <c r="BE58" i="17"/>
  <c r="BE9" i="17"/>
  <c r="Q80" i="17"/>
  <c r="Q9" i="17"/>
  <c r="G40" i="28"/>
  <c r="BA125" i="17"/>
  <c r="AH125" i="17"/>
  <c r="AC108" i="17"/>
  <c r="BD108" i="17"/>
  <c r="AU145" i="17"/>
  <c r="AU9" i="17"/>
  <c r="V125" i="17"/>
  <c r="AQ64" i="17"/>
  <c r="AQ9" i="17"/>
  <c r="AA147" i="17"/>
  <c r="AA9" i="17"/>
  <c r="AC146" i="17"/>
  <c r="AC9" i="17"/>
  <c r="BA80" i="17"/>
  <c r="BA9" i="17"/>
  <c r="AP108" i="17"/>
  <c r="G8" i="28"/>
  <c r="G12" i="28"/>
  <c r="Z58" i="17"/>
  <c r="Z9" i="17"/>
  <c r="N113" i="17"/>
  <c r="N9" i="17"/>
  <c r="G34" i="28"/>
  <c r="P108" i="17"/>
  <c r="AV108" i="17"/>
  <c r="G41" i="28"/>
  <c r="AM125" i="17"/>
  <c r="R8" i="17"/>
  <c r="R9" i="17"/>
  <c r="G43" i="28"/>
  <c r="AE8" i="17"/>
  <c r="AE10" i="17" s="1"/>
  <c r="AE9" i="17"/>
  <c r="AJ146" i="17"/>
  <c r="AJ9" i="17"/>
  <c r="G51" i="28"/>
  <c r="BB108" i="17"/>
  <c r="O125" i="17"/>
  <c r="BF108" i="17"/>
  <c r="T125" i="17"/>
  <c r="AT125" i="17"/>
  <c r="G24" i="28"/>
  <c r="G22" i="28"/>
  <c r="AO108" i="17"/>
  <c r="BG144" i="17"/>
  <c r="BG9" i="17"/>
  <c r="G31" i="28"/>
  <c r="Z125" i="17"/>
  <c r="AS64" i="17"/>
  <c r="AS9" i="17"/>
  <c r="AO56" i="17"/>
  <c r="AO9" i="17"/>
  <c r="Y145" i="17"/>
  <c r="Y9" i="17"/>
  <c r="G21" i="28"/>
  <c r="BC108" i="17"/>
  <c r="AB125" i="17"/>
  <c r="G14" i="28"/>
  <c r="AL108" i="17"/>
  <c r="M56" i="17"/>
  <c r="M9" i="17"/>
  <c r="AH144" i="17"/>
  <c r="AH9" i="17"/>
  <c r="AU108" i="17"/>
  <c r="AA108" i="17"/>
  <c r="G4" i="28"/>
  <c r="BG125" i="17"/>
  <c r="G16" i="28"/>
  <c r="G48" i="28"/>
  <c r="AI147" i="17"/>
  <c r="AI9" i="17"/>
  <c r="AI108" i="17"/>
  <c r="S112" i="17"/>
  <c r="S9" i="17"/>
  <c r="BL99" i="27"/>
  <c r="BF99" i="27"/>
  <c r="CD40" i="27"/>
  <c r="BI99" i="27"/>
  <c r="BU40" i="27"/>
  <c r="EL40" i="27"/>
  <c r="ER40" i="27"/>
  <c r="BS40" i="27"/>
  <c r="U128" i="19"/>
  <c r="T128" i="19"/>
  <c r="DO40" i="27"/>
  <c r="EG40" i="27"/>
  <c r="EH40" i="27" s="1"/>
  <c r="S128" i="19"/>
  <c r="V128" i="19"/>
  <c r="Y128" i="19" s="1"/>
  <c r="EL9" i="27"/>
  <c r="ER9" i="27"/>
  <c r="X104" i="19"/>
  <c r="BX11" i="27"/>
  <c r="BO22" i="27"/>
  <c r="BV23" i="27"/>
  <c r="BZ23" i="27"/>
  <c r="CR23" i="27" s="1"/>
  <c r="EC23" i="27"/>
  <c r="CD23" i="27"/>
  <c r="CV23" i="27" s="1"/>
  <c r="CE23" i="27"/>
  <c r="CW23" i="27" s="1"/>
  <c r="BI75" i="27"/>
  <c r="CC23" i="27"/>
  <c r="CU23" i="27" s="1"/>
  <c r="BT23" i="27"/>
  <c r="U104" i="19"/>
  <c r="BN11" i="27"/>
  <c r="T111" i="17" s="1"/>
  <c r="BP11" i="27"/>
  <c r="EC11" i="27"/>
  <c r="EL11" i="27" s="1"/>
  <c r="BV11" i="27"/>
  <c r="CF11" i="27"/>
  <c r="CX11" i="27" s="1"/>
  <c r="CB11" i="27"/>
  <c r="CT11" i="27" s="1"/>
  <c r="U91" i="19"/>
  <c r="BY11" i="27"/>
  <c r="X91" i="19"/>
  <c r="BS22" i="27"/>
  <c r="CB22" i="27"/>
  <c r="CT22" i="27" s="1"/>
  <c r="BR22" i="27"/>
  <c r="BU22" i="27"/>
  <c r="CD22" i="27"/>
  <c r="CV22" i="27" s="1"/>
  <c r="BZ22" i="27"/>
  <c r="BV22" i="27"/>
  <c r="CM22" i="27" s="1"/>
  <c r="BX22" i="27"/>
  <c r="CA22" i="27"/>
  <c r="CS22" i="27" s="1"/>
  <c r="BF74" i="27"/>
  <c r="BP22" i="27"/>
  <c r="CF22" i="27"/>
  <c r="CX22" i="27" s="1"/>
  <c r="BY22" i="27"/>
  <c r="CQ22" i="27" s="1"/>
  <c r="BN22" i="27"/>
  <c r="CE22" i="27"/>
  <c r="CW22" i="27" s="1"/>
  <c r="BW22" i="27"/>
  <c r="CO22" i="27" s="1"/>
  <c r="BQ22" i="27"/>
  <c r="CI22" i="27" s="1"/>
  <c r="U89" i="19"/>
  <c r="BX9" i="27"/>
  <c r="CB9" i="27"/>
  <c r="CT9" i="27" s="1"/>
  <c r="BY9" i="27"/>
  <c r="CQ9" i="27" s="1"/>
  <c r="CC9" i="27"/>
  <c r="CU9" i="27" s="1"/>
  <c r="BI59" i="27"/>
  <c r="BW9" i="27"/>
  <c r="BT9" i="27"/>
  <c r="X89" i="19"/>
  <c r="CF9" i="27"/>
  <c r="CX9" i="27" s="1"/>
  <c r="BP9" i="27"/>
  <c r="BG65" i="27"/>
  <c r="BU14" i="27"/>
  <c r="EA14" i="27"/>
  <c r="V95" i="19"/>
  <c r="S95" i="19"/>
  <c r="DP12" i="27"/>
  <c r="W92" i="19"/>
  <c r="BN12" i="27"/>
  <c r="BX12" i="27"/>
  <c r="CP12" i="27" s="1"/>
  <c r="EB12" i="27"/>
  <c r="EM12" i="27" s="1"/>
  <c r="BS12" i="27"/>
  <c r="BP12" i="27"/>
  <c r="T92" i="19"/>
  <c r="BZ12" i="27"/>
  <c r="CR12" i="27" s="1"/>
  <c r="W109" i="19"/>
  <c r="Z109" i="19" s="1"/>
  <c r="BU28" i="27"/>
  <c r="CM28" i="27" s="1"/>
  <c r="BS28" i="27"/>
  <c r="CK28" i="27" s="1"/>
  <c r="CD28" i="27"/>
  <c r="CV28" i="27" s="1"/>
  <c r="CC28" i="27"/>
  <c r="CU28" i="27" s="1"/>
  <c r="BT28" i="27"/>
  <c r="CL28" i="27" s="1"/>
  <c r="EB28" i="27"/>
  <c r="EM28" i="27" s="1"/>
  <c r="BH80" i="27"/>
  <c r="BQ80" i="27" s="1"/>
  <c r="BY28" i="27"/>
  <c r="CQ28" i="27" s="1"/>
  <c r="CB28" i="27"/>
  <c r="CT28" i="27" s="1"/>
  <c r="BX28" i="27"/>
  <c r="CP28" i="27" s="1"/>
  <c r="BP28" i="27"/>
  <c r="BN28" i="27"/>
  <c r="T109" i="19"/>
  <c r="BW28" i="27"/>
  <c r="CO28" i="27" s="1"/>
  <c r="BV28" i="27"/>
  <c r="CN28" i="27" s="1"/>
  <c r="CA28" i="27"/>
  <c r="CS28" i="27" s="1"/>
  <c r="CE28" i="27"/>
  <c r="CW28" i="27" s="1"/>
  <c r="BJ70" i="27"/>
  <c r="ED18" i="27"/>
  <c r="EK18" i="27" s="1"/>
  <c r="BW18" i="27"/>
  <c r="CE18" i="27"/>
  <c r="CW18" i="27" s="1"/>
  <c r="BX18" i="27"/>
  <c r="BS18" i="27"/>
  <c r="DO18" i="27"/>
  <c r="BP18" i="27"/>
  <c r="CB18" i="27"/>
  <c r="CT18" i="27" s="1"/>
  <c r="BT18" i="27"/>
  <c r="BU18" i="27"/>
  <c r="EA18" i="27"/>
  <c r="EN18" i="27" s="1"/>
  <c r="S99" i="19"/>
  <c r="CD18" i="27"/>
  <c r="CV18" i="27" s="1"/>
  <c r="BQ18" i="27"/>
  <c r="CC18" i="27"/>
  <c r="CU18" i="27" s="1"/>
  <c r="BO18" i="27"/>
  <c r="BY18" i="27"/>
  <c r="CQ18" i="27" s="1"/>
  <c r="BN18" i="27"/>
  <c r="BG70" i="27"/>
  <c r="DZ26" i="27"/>
  <c r="EO26" i="27" s="1"/>
  <c r="CD26" i="27"/>
  <c r="CV26" i="27" s="1"/>
  <c r="CE26" i="27"/>
  <c r="CW26" i="27" s="1"/>
  <c r="BF78" i="27"/>
  <c r="BO26" i="27"/>
  <c r="ER48" i="27"/>
  <c r="BO9" i="27"/>
  <c r="CH9" i="27" s="1"/>
  <c r="BR12" i="27"/>
  <c r="BR28" i="27"/>
  <c r="CJ28" i="27" s="1"/>
  <c r="BZ28" i="27"/>
  <c r="CR28" i="27" s="1"/>
  <c r="BI61" i="27"/>
  <c r="CF18" i="27"/>
  <c r="CX18" i="27" s="1"/>
  <c r="CC22" i="27"/>
  <c r="CU22" i="27" s="1"/>
  <c r="CO43" i="27"/>
  <c r="BY21" i="27"/>
  <c r="CQ21" i="27" s="1"/>
  <c r="BZ21" i="27"/>
  <c r="CR21" i="27" s="1"/>
  <c r="BT21" i="27"/>
  <c r="W116" i="17"/>
  <c r="BT39" i="27"/>
  <c r="CL39" i="27" s="1"/>
  <c r="BP39" i="27"/>
  <c r="CH39" i="27" s="1"/>
  <c r="BU39" i="27"/>
  <c r="CM39" i="27" s="1"/>
  <c r="BQ39" i="27"/>
  <c r="CI39" i="27" s="1"/>
  <c r="CE39" i="27"/>
  <c r="CW39" i="27" s="1"/>
  <c r="CC10" i="27"/>
  <c r="CU10" i="27" s="1"/>
  <c r="BO10" i="27"/>
  <c r="BX10" i="27"/>
  <c r="CP10" i="27" s="1"/>
  <c r="BZ10" i="27"/>
  <c r="CR10" i="27" s="1"/>
  <c r="BN10" i="27"/>
  <c r="DP32" i="27"/>
  <c r="CA32" i="27"/>
  <c r="CS32" i="27" s="1"/>
  <c r="BW40" i="27"/>
  <c r="CB40" i="27"/>
  <c r="BY40" i="27"/>
  <c r="BT32" i="27"/>
  <c r="W97" i="19"/>
  <c r="Z97" i="19" s="1"/>
  <c r="EB35" i="27"/>
  <c r="EM35" i="27" s="1"/>
  <c r="DP35" i="27"/>
  <c r="BQ23" i="27"/>
  <c r="BY23" i="27"/>
  <c r="CQ23" i="27" s="1"/>
  <c r="EB7" i="27"/>
  <c r="EM7" i="27" s="1"/>
  <c r="DP7" i="27"/>
  <c r="W87" i="19"/>
  <c r="W105" i="19"/>
  <c r="BO89" i="27"/>
  <c r="DM36" i="27"/>
  <c r="DN36" i="27" s="1"/>
  <c r="AS116" i="17"/>
  <c r="EC32" i="27"/>
  <c r="EL32" i="27" s="1"/>
  <c r="X113" i="19"/>
  <c r="BH84" i="27"/>
  <c r="W113" i="19"/>
  <c r="Z113" i="19" s="1"/>
  <c r="DP30" i="27"/>
  <c r="W111" i="19"/>
  <c r="Z111" i="19" s="1"/>
  <c r="U90" i="19"/>
  <c r="EC10" i="27"/>
  <c r="EL10" i="27" s="1"/>
  <c r="BE116" i="17"/>
  <c r="DM48" i="27"/>
  <c r="DN48" i="27" s="1"/>
  <c r="X100" i="19"/>
  <c r="EC19" i="27"/>
  <c r="EL19" i="27" s="1"/>
  <c r="BP14" i="27"/>
  <c r="X125" i="19"/>
  <c r="EC39" i="27"/>
  <c r="F34" i="17"/>
  <c r="BL34" i="17" s="1"/>
  <c r="CU43" i="27"/>
  <c r="ER46" i="27"/>
  <c r="BO21" i="27"/>
  <c r="BN21" i="27"/>
  <c r="BW21" i="27"/>
  <c r="CO21" i="27" s="1"/>
  <c r="CE21" i="27"/>
  <c r="CW21" i="27" s="1"/>
  <c r="CN16" i="27"/>
  <c r="CL16" i="27"/>
  <c r="BQ83" i="27"/>
  <c r="BW39" i="27"/>
  <c r="CO39" i="27" s="1"/>
  <c r="BX39" i="27"/>
  <c r="CP39" i="27" s="1"/>
  <c r="CA10" i="27"/>
  <c r="CS10" i="27" s="1"/>
  <c r="BQ10" i="27"/>
  <c r="BS10" i="27"/>
  <c r="CK10" i="27" s="1"/>
  <c r="BY10" i="27"/>
  <c r="CQ10" i="27" s="1"/>
  <c r="CD10" i="27"/>
  <c r="CV10" i="27" s="1"/>
  <c r="X90" i="19"/>
  <c r="EB32" i="27"/>
  <c r="EM32" i="27" s="1"/>
  <c r="BP40" i="27"/>
  <c r="CF40" i="27"/>
  <c r="BR40" i="27"/>
  <c r="BH68" i="27"/>
  <c r="DM23" i="27"/>
  <c r="DN23" i="27" s="1"/>
  <c r="BJ65" i="27"/>
  <c r="EB24" i="27"/>
  <c r="EM24" i="27" s="1"/>
  <c r="S104" i="19"/>
  <c r="DO23" i="27"/>
  <c r="BK61" i="27"/>
  <c r="EE11" i="27"/>
  <c r="EJ11" i="27" s="1"/>
  <c r="BH105" i="27"/>
  <c r="BQ105" i="27" s="1"/>
  <c r="EB43" i="27"/>
  <c r="EM43" i="27" s="1"/>
  <c r="W132" i="19"/>
  <c r="X128" i="19"/>
  <c r="BV40" i="27"/>
  <c r="CE40" i="27"/>
  <c r="BN40" i="27"/>
  <c r="DM20" i="27"/>
  <c r="DN20" i="27" s="1"/>
  <c r="ED24" i="27"/>
  <c r="EK24" i="27" s="1"/>
  <c r="BJ76" i="27"/>
  <c r="K5" i="28"/>
  <c r="T5" i="28" s="1"/>
  <c r="L5" i="28"/>
  <c r="U5" i="28" s="1"/>
  <c r="M5" i="28"/>
  <c r="V5" i="28" s="1"/>
  <c r="BG5" i="27"/>
  <c r="J5" i="28"/>
  <c r="S5" i="28" s="1"/>
  <c r="CB21" i="27"/>
  <c r="CT21" i="27" s="1"/>
  <c r="CC21" i="27"/>
  <c r="CU21" i="27" s="1"/>
  <c r="BQ79" i="27"/>
  <c r="CI13" i="27"/>
  <c r="CG31" i="27"/>
  <c r="DM14" i="27"/>
  <c r="DN14" i="27" s="1"/>
  <c r="BZ39" i="27"/>
  <c r="CR39" i="27" s="1"/>
  <c r="CC39" i="27"/>
  <c r="CU39" i="27" s="1"/>
  <c r="BY39" i="27"/>
  <c r="CQ39" i="27" s="1"/>
  <c r="CF39" i="27"/>
  <c r="CX39" i="27" s="1"/>
  <c r="CA39" i="27"/>
  <c r="CS39" i="27" s="1"/>
  <c r="BN39" i="27"/>
  <c r="AV110" i="17" s="1"/>
  <c r="BR10" i="27"/>
  <c r="CJ10" i="27" s="1"/>
  <c r="BU10" i="27"/>
  <c r="CM10" i="27" s="1"/>
  <c r="BW10" i="27"/>
  <c r="CO10" i="27" s="1"/>
  <c r="BT10" i="27"/>
  <c r="CL10" i="27" s="1"/>
  <c r="BV10" i="27"/>
  <c r="CN10" i="27" s="1"/>
  <c r="BI60" i="27"/>
  <c r="BO60" i="27" s="1"/>
  <c r="EB30" i="27"/>
  <c r="BI84" i="27"/>
  <c r="BN69" i="27"/>
  <c r="BP69" i="27" s="1"/>
  <c r="BZ40" i="27"/>
  <c r="BX40" i="27"/>
  <c r="BO32" i="27"/>
  <c r="CH32" i="27" s="1"/>
  <c r="DM13" i="27"/>
  <c r="DN13" i="27" s="1"/>
  <c r="T97" i="19"/>
  <c r="U125" i="19"/>
  <c r="EE21" i="27"/>
  <c r="EJ21" i="27" s="1"/>
  <c r="DM32" i="27"/>
  <c r="DN32" i="27" s="1"/>
  <c r="AO116" i="17"/>
  <c r="BI109" i="27"/>
  <c r="EB22" i="27"/>
  <c r="EM22" i="27" s="1"/>
  <c r="BH74" i="27"/>
  <c r="T103" i="19"/>
  <c r="CF32" i="27"/>
  <c r="CX32" i="27" s="1"/>
  <c r="BN32" i="27"/>
  <c r="BR32" i="27"/>
  <c r="BV32" i="27"/>
  <c r="CN32" i="27" s="1"/>
  <c r="EB13" i="27"/>
  <c r="EM13" i="27" s="1"/>
  <c r="W93" i="19"/>
  <c r="Z93" i="19" s="1"/>
  <c r="BN89" i="27"/>
  <c r="Z142" i="19"/>
  <c r="Y137" i="19"/>
  <c r="AA131" i="19"/>
  <c r="Y121" i="19"/>
  <c r="AA95" i="19"/>
  <c r="Z94" i="19"/>
  <c r="CB33" i="27"/>
  <c r="CT33" i="27" s="1"/>
  <c r="BU37" i="27"/>
  <c r="CM37" i="27" s="1"/>
  <c r="AA83" i="19"/>
  <c r="V140" i="19"/>
  <c r="EA50" i="27"/>
  <c r="I50" i="28"/>
  <c r="R50" i="28" s="1"/>
  <c r="N50" i="28"/>
  <c r="W50" i="28" s="1"/>
  <c r="Y141" i="19"/>
  <c r="Z138" i="19"/>
  <c r="Y129" i="19"/>
  <c r="Z135" i="19"/>
  <c r="Y134" i="19"/>
  <c r="AA100" i="19"/>
  <c r="BG113" i="27"/>
  <c r="BI50" i="27"/>
  <c r="J50" i="28"/>
  <c r="S50" i="28" s="1"/>
  <c r="Z127" i="19"/>
  <c r="AA127" i="19"/>
  <c r="Z126" i="19"/>
  <c r="Z118" i="19"/>
  <c r="AA99" i="19"/>
  <c r="BH50" i="27"/>
  <c r="BO50" i="27" s="1"/>
  <c r="BG116" i="17"/>
  <c r="BF50" i="27"/>
  <c r="L50" i="28"/>
  <c r="U50" i="28" s="1"/>
  <c r="Y117" i="19"/>
  <c r="Y140" i="19"/>
  <c r="Y108" i="19"/>
  <c r="Y104" i="19"/>
  <c r="Z104" i="19"/>
  <c r="Z92" i="19"/>
  <c r="Y132" i="19"/>
  <c r="Y100" i="19"/>
  <c r="AA102" i="19"/>
  <c r="Z137" i="19"/>
  <c r="Y103" i="19"/>
  <c r="AA101" i="19"/>
  <c r="Z125" i="19"/>
  <c r="Y96" i="19"/>
  <c r="Y112" i="19"/>
  <c r="AA134" i="19"/>
  <c r="AA110" i="19"/>
  <c r="Z105" i="19"/>
  <c r="AA137" i="19"/>
  <c r="Z112" i="19"/>
  <c r="Y95" i="19"/>
  <c r="AA90" i="19"/>
  <c r="Z123" i="19"/>
  <c r="Y102" i="19"/>
  <c r="AA84" i="19"/>
  <c r="Y119" i="19"/>
  <c r="AA104" i="19"/>
  <c r="Z107" i="19"/>
  <c r="AA89" i="19"/>
  <c r="AA93" i="19"/>
  <c r="Y101" i="19"/>
  <c r="AA87" i="19"/>
  <c r="AA91" i="19"/>
  <c r="Y89" i="19"/>
  <c r="AA97" i="19"/>
  <c r="Y83" i="19"/>
  <c r="Y105" i="19"/>
  <c r="Z84" i="19"/>
  <c r="Y97" i="19"/>
  <c r="Z90" i="19"/>
  <c r="Y125" i="19"/>
  <c r="Y99" i="19"/>
  <c r="Z108" i="19"/>
  <c r="Y93" i="19"/>
  <c r="AA113" i="19"/>
  <c r="Z132" i="19"/>
  <c r="Z120" i="19"/>
  <c r="AA107" i="19"/>
  <c r="Z136" i="19"/>
  <c r="Z100" i="19"/>
  <c r="Y131" i="19"/>
  <c r="AA133" i="19"/>
  <c r="Z122" i="19"/>
  <c r="AA139" i="19"/>
  <c r="Y109" i="19"/>
  <c r="AA103" i="19"/>
  <c r="AA109" i="19"/>
  <c r="AA111" i="19"/>
  <c r="AA125" i="19"/>
  <c r="Z134" i="19"/>
  <c r="AA119" i="19"/>
  <c r="AA135" i="19"/>
  <c r="AA123" i="19"/>
  <c r="Z106" i="19"/>
  <c r="Z102" i="19"/>
  <c r="AA92" i="19"/>
  <c r="AA96" i="19"/>
  <c r="AA108" i="19"/>
  <c r="AA132" i="19"/>
  <c r="Y106" i="19"/>
  <c r="AA112" i="19"/>
  <c r="Z103" i="19"/>
  <c r="Y122" i="19"/>
  <c r="Y98" i="19"/>
  <c r="Z95" i="19"/>
  <c r="Z87" i="19"/>
  <c r="AA128" i="19"/>
  <c r="Y130" i="19"/>
  <c r="Y114" i="19"/>
  <c r="Y110" i="19"/>
  <c r="Y90" i="19"/>
  <c r="Z99" i="19"/>
  <c r="F13" i="17"/>
  <c r="BL13" i="17" s="1"/>
  <c r="F14" i="17"/>
  <c r="BL14" i="17" s="1"/>
  <c r="DK21" i="27"/>
  <c r="AD117" i="17"/>
  <c r="BK82" i="27"/>
  <c r="BO82" i="27" s="1"/>
  <c r="BX30" i="27"/>
  <c r="CP30" i="27" s="1"/>
  <c r="BV30" i="27"/>
  <c r="CN30" i="27" s="1"/>
  <c r="CD30" i="27"/>
  <c r="CV30" i="27" s="1"/>
  <c r="BR30" i="27"/>
  <c r="CJ30" i="27" s="1"/>
  <c r="BT30" i="27"/>
  <c r="CL30" i="27" s="1"/>
  <c r="CB30" i="27"/>
  <c r="CT30" i="27" s="1"/>
  <c r="L42" i="19"/>
  <c r="BK42" i="27"/>
  <c r="EF6" i="27"/>
  <c r="EI6" i="27" s="1"/>
  <c r="BL56" i="27"/>
  <c r="BL91" i="27"/>
  <c r="EF36" i="27"/>
  <c r="EI36" i="27" s="1"/>
  <c r="EE38" i="27"/>
  <c r="EJ38" i="27" s="1"/>
  <c r="BK94" i="27"/>
  <c r="BI36" i="27"/>
  <c r="L36" i="19"/>
  <c r="DK6" i="27"/>
  <c r="Q6" i="19"/>
  <c r="ES6" i="27"/>
  <c r="CP43" i="27"/>
  <c r="ER24" i="27"/>
  <c r="CK48" i="27"/>
  <c r="CZ48" i="27" s="1"/>
  <c r="R111" i="17"/>
  <c r="BC111" i="17"/>
  <c r="CP22" i="27"/>
  <c r="BN110" i="27"/>
  <c r="CM16" i="27"/>
  <c r="BX33" i="27"/>
  <c r="CP33" i="27" s="1"/>
  <c r="CE33" i="27"/>
  <c r="CW33" i="27" s="1"/>
  <c r="BV33" i="27"/>
  <c r="CN33" i="27" s="1"/>
  <c r="AR111" i="17"/>
  <c r="BE111" i="17"/>
  <c r="AB111" i="17"/>
  <c r="Y111" i="17"/>
  <c r="EP46" i="27"/>
  <c r="BQ107" i="27"/>
  <c r="CR22" i="27"/>
  <c r="CL25" i="27"/>
  <c r="CN22" i="27"/>
  <c r="EP35" i="27"/>
  <c r="CN25" i="27"/>
  <c r="BW33" i="27"/>
  <c r="CO33" i="27" s="1"/>
  <c r="BO33" i="27"/>
  <c r="CB37" i="27"/>
  <c r="CT37" i="27" s="1"/>
  <c r="CK31" i="27"/>
  <c r="CL31" i="27"/>
  <c r="CI18" i="27"/>
  <c r="CH18" i="27"/>
  <c r="BP30" i="27"/>
  <c r="BU30" i="27"/>
  <c r="CM30" i="27" s="1"/>
  <c r="BH61" i="27"/>
  <c r="CE11" i="27"/>
  <c r="CW11" i="27" s="1"/>
  <c r="DP11" i="27"/>
  <c r="BT11" i="27"/>
  <c r="BS11" i="27"/>
  <c r="BO11" i="27"/>
  <c r="DJ11" i="27" s="1"/>
  <c r="T123" i="17" s="1"/>
  <c r="BQ11" i="27"/>
  <c r="BW11" i="27"/>
  <c r="CO11" i="27" s="1"/>
  <c r="CC11" i="27"/>
  <c r="CU11" i="27" s="1"/>
  <c r="W91" i="19"/>
  <c r="Z91" i="19" s="1"/>
  <c r="BR11" i="27"/>
  <c r="BU11" i="27"/>
  <c r="CM11" i="27" s="1"/>
  <c r="BZ11" i="27"/>
  <c r="BH59" i="27"/>
  <c r="DP9" i="27"/>
  <c r="T89" i="19"/>
  <c r="EB9" i="27"/>
  <c r="EM9" i="27" s="1"/>
  <c r="BR9" i="27"/>
  <c r="BS9" i="27"/>
  <c r="CD9" i="27"/>
  <c r="CV9" i="27" s="1"/>
  <c r="W89" i="19"/>
  <c r="Z89" i="19" s="1"/>
  <c r="BV9" i="27"/>
  <c r="BZ9" i="27"/>
  <c r="CR9" i="27" s="1"/>
  <c r="CE9" i="27"/>
  <c r="CW9" i="27" s="1"/>
  <c r="BU9" i="27"/>
  <c r="CA9" i="27"/>
  <c r="CS9" i="27" s="1"/>
  <c r="CG9" i="27"/>
  <c r="EE14" i="27"/>
  <c r="EJ14" i="27" s="1"/>
  <c r="BQ14" i="27"/>
  <c r="CB14" i="27"/>
  <c r="CT14" i="27" s="1"/>
  <c r="BY14" i="27"/>
  <c r="BS14" i="27"/>
  <c r="CE14" i="27"/>
  <c r="CW14" i="27" s="1"/>
  <c r="BR14" i="27"/>
  <c r="BT14" i="27"/>
  <c r="BZ14" i="27"/>
  <c r="CR14" i="27" s="1"/>
  <c r="BK65" i="27"/>
  <c r="BN65" i="27" s="1"/>
  <c r="CC14" i="27"/>
  <c r="CU14" i="27" s="1"/>
  <c r="CF14" i="27"/>
  <c r="CX14" i="27" s="1"/>
  <c r="BW14" i="27"/>
  <c r="Z117" i="17"/>
  <c r="DK17" i="27"/>
  <c r="DM17" i="27" s="1"/>
  <c r="DN17" i="27" s="1"/>
  <c r="BK113" i="27"/>
  <c r="EE50" i="27"/>
  <c r="EJ50" i="27" s="1"/>
  <c r="EE33" i="27"/>
  <c r="EJ33" i="27" s="1"/>
  <c r="BK85" i="27"/>
  <c r="BN85" i="27" s="1"/>
  <c r="BR33" i="27"/>
  <c r="CJ33" i="27" s="1"/>
  <c r="BQ33" i="27"/>
  <c r="CC33" i="27"/>
  <c r="CU33" i="27" s="1"/>
  <c r="BT33" i="27"/>
  <c r="CL33" i="27" s="1"/>
  <c r="CA33" i="27"/>
  <c r="CS33" i="27" s="1"/>
  <c r="CD33" i="27"/>
  <c r="CV33" i="27" s="1"/>
  <c r="BN33" i="27"/>
  <c r="EF37" i="27"/>
  <c r="EI37" i="27" s="1"/>
  <c r="BL93" i="27"/>
  <c r="BN93" i="27" s="1"/>
  <c r="CE37" i="27"/>
  <c r="CW37" i="27" s="1"/>
  <c r="BV37" i="27"/>
  <c r="CN37" i="27" s="1"/>
  <c r="CC37" i="27"/>
  <c r="CU37" i="27" s="1"/>
  <c r="BW37" i="27"/>
  <c r="CO37" i="27" s="1"/>
  <c r="BP37" i="27"/>
  <c r="CH37" i="27" s="1"/>
  <c r="BR37" i="27"/>
  <c r="CJ37" i="27" s="1"/>
  <c r="CD37" i="27"/>
  <c r="CV37" i="27" s="1"/>
  <c r="CF37" i="27"/>
  <c r="CX37" i="27" s="1"/>
  <c r="BZ37" i="27"/>
  <c r="CR37" i="27" s="1"/>
  <c r="BT37" i="27"/>
  <c r="CL37" i="27" s="1"/>
  <c r="K34" i="28"/>
  <c r="T34" i="28" s="1"/>
  <c r="I34" i="28"/>
  <c r="R34" i="28" s="1"/>
  <c r="BI34" i="27"/>
  <c r="BJ34" i="27"/>
  <c r="L34" i="28"/>
  <c r="U34" i="28" s="1"/>
  <c r="BH34" i="27"/>
  <c r="N34" i="28"/>
  <c r="W34" i="28" s="1"/>
  <c r="BG34" i="27"/>
  <c r="M34" i="28"/>
  <c r="V34" i="28" s="1"/>
  <c r="BF34" i="27"/>
  <c r="J34" i="28"/>
  <c r="S34" i="28" s="1"/>
  <c r="BH51" i="27"/>
  <c r="EB51" i="27" s="1"/>
  <c r="EM51" i="27" s="1"/>
  <c r="BG51" i="27"/>
  <c r="EA51" i="27" s="1"/>
  <c r="BF51" i="27"/>
  <c r="T110" i="17"/>
  <c r="CF33" i="27"/>
  <c r="CX33" i="27" s="1"/>
  <c r="BX37" i="27"/>
  <c r="CP37" i="27" s="1"/>
  <c r="CA37" i="27"/>
  <c r="CS37" i="27" s="1"/>
  <c r="BN37" i="27"/>
  <c r="BU38" i="27"/>
  <c r="CM38" i="27" s="1"/>
  <c r="BN14" i="27"/>
  <c r="CD14" i="27"/>
  <c r="CV14" i="27" s="1"/>
  <c r="CI47" i="27"/>
  <c r="BN30" i="27"/>
  <c r="CC24" i="27"/>
  <c r="CU24" i="27" s="1"/>
  <c r="BN24" i="27"/>
  <c r="BX24" i="27"/>
  <c r="CP24" i="27" s="1"/>
  <c r="BI76" i="27"/>
  <c r="BW24" i="27"/>
  <c r="CN24" i="27" s="1"/>
  <c r="BP24" i="27"/>
  <c r="CI24" i="27" s="1"/>
  <c r="BO24" i="27"/>
  <c r="CE24" i="27"/>
  <c r="CW24" i="27" s="1"/>
  <c r="CD24" i="27"/>
  <c r="CV24" i="27" s="1"/>
  <c r="BT24" i="27"/>
  <c r="CM24" i="27" s="1"/>
  <c r="BS24" i="27"/>
  <c r="BZ24" i="27"/>
  <c r="CR24" i="27" s="1"/>
  <c r="X105" i="19"/>
  <c r="AA105" i="19" s="1"/>
  <c r="BV50" i="27"/>
  <c r="BX21" i="27"/>
  <c r="CP21" i="27" s="1"/>
  <c r="BP21" i="27"/>
  <c r="BQ21" i="27"/>
  <c r="CF21" i="27"/>
  <c r="CX21" i="27" s="1"/>
  <c r="BS21" i="27"/>
  <c r="DO21" i="27"/>
  <c r="BV21" i="27"/>
  <c r="CN21" i="27" s="1"/>
  <c r="CA21" i="27"/>
  <c r="CS21" i="27" s="1"/>
  <c r="BR21" i="27"/>
  <c r="BU21" i="27"/>
  <c r="CL21" i="27" s="1"/>
  <c r="BG108" i="27"/>
  <c r="BN108" i="27" s="1"/>
  <c r="DO46" i="27"/>
  <c r="BQ46" i="27"/>
  <c r="BR46" i="27"/>
  <c r="CJ46" i="27" s="1"/>
  <c r="V135" i="19"/>
  <c r="Y135" i="19" s="1"/>
  <c r="BW46" i="27"/>
  <c r="CO46" i="27" s="1"/>
  <c r="CB46" i="27"/>
  <c r="CT46" i="27" s="1"/>
  <c r="CC46" i="27"/>
  <c r="CU46" i="27" s="1"/>
  <c r="BO46" i="27"/>
  <c r="DJ46" i="27" s="1"/>
  <c r="BC123" i="17" s="1"/>
  <c r="BX46" i="27"/>
  <c r="CP46" i="27" s="1"/>
  <c r="CA46" i="27"/>
  <c r="CS46" i="27" s="1"/>
  <c r="V120" i="19"/>
  <c r="Y120" i="19" s="1"/>
  <c r="BY36" i="27"/>
  <c r="CQ36" i="27" s="1"/>
  <c r="CA36" i="27"/>
  <c r="CS36" i="27" s="1"/>
  <c r="BP36" i="27"/>
  <c r="CF36" i="27"/>
  <c r="CX36" i="27" s="1"/>
  <c r="BR36" i="27"/>
  <c r="CJ36" i="27" s="1"/>
  <c r="BG91" i="27"/>
  <c r="EA36" i="27"/>
  <c r="EN36" i="27" s="1"/>
  <c r="CB36" i="27"/>
  <c r="CT36" i="27" s="1"/>
  <c r="CD36" i="27"/>
  <c r="CV36" i="27" s="1"/>
  <c r="BQ36" i="27"/>
  <c r="CI36" i="27" s="1"/>
  <c r="BX36" i="27"/>
  <c r="CP36" i="27" s="1"/>
  <c r="BT19" i="27"/>
  <c r="CL19" i="27" s="1"/>
  <c r="BY19" i="27"/>
  <c r="CQ19" i="27" s="1"/>
  <c r="BV19" i="27"/>
  <c r="CN19" i="27" s="1"/>
  <c r="BZ19" i="27"/>
  <c r="CR19" i="27" s="1"/>
  <c r="CD19" i="27"/>
  <c r="CV19" i="27" s="1"/>
  <c r="BU19" i="27"/>
  <c r="CM19" i="27" s="1"/>
  <c r="CF19" i="27"/>
  <c r="CX19" i="27" s="1"/>
  <c r="BO19" i="27"/>
  <c r="CG19" i="27" s="1"/>
  <c r="CC19" i="27"/>
  <c r="CU19" i="27" s="1"/>
  <c r="CB19" i="27"/>
  <c r="CT19" i="27" s="1"/>
  <c r="CA19" i="27"/>
  <c r="CS19" i="27" s="1"/>
  <c r="EA12" i="27"/>
  <c r="CA12" i="27"/>
  <c r="CS12" i="27" s="1"/>
  <c r="S92" i="19"/>
  <c r="BT12" i="27"/>
  <c r="CK12" i="27" s="1"/>
  <c r="CD12" i="27"/>
  <c r="CV12" i="27" s="1"/>
  <c r="V92" i="19"/>
  <c r="Y92" i="19" s="1"/>
  <c r="BV12" i="27"/>
  <c r="CN12" i="27" s="1"/>
  <c r="BO12" i="27"/>
  <c r="CG12" i="27" s="1"/>
  <c r="BQ12" i="27"/>
  <c r="CB12" i="27"/>
  <c r="CT12" i="27" s="1"/>
  <c r="CF12" i="27"/>
  <c r="CX12" i="27" s="1"/>
  <c r="BY12" i="27"/>
  <c r="CQ12" i="27" s="1"/>
  <c r="CC12" i="27"/>
  <c r="CU12" i="27" s="1"/>
  <c r="BW12" i="27"/>
  <c r="CO12" i="27" s="1"/>
  <c r="BU12" i="27"/>
  <c r="CM12" i="27" s="1"/>
  <c r="CE12" i="27"/>
  <c r="CW12" i="27" s="1"/>
  <c r="EC21" i="27"/>
  <c r="U102" i="19"/>
  <c r="BF54" i="27"/>
  <c r="BQ5" i="27"/>
  <c r="CI9" i="27"/>
  <c r="DM22" i="27"/>
  <c r="DN22" i="27" s="1"/>
  <c r="AE116" i="17"/>
  <c r="DK12" i="27"/>
  <c r="DM12" i="27" s="1"/>
  <c r="DN12" i="27" s="1"/>
  <c r="U117" i="17"/>
  <c r="L5" i="19"/>
  <c r="BK5" i="27"/>
  <c r="BT5" i="27" s="1"/>
  <c r="BH8" i="27"/>
  <c r="K8" i="28"/>
  <c r="T8" i="28" s="1"/>
  <c r="BG8" i="27"/>
  <c r="J8" i="28"/>
  <c r="S8" i="28" s="1"/>
  <c r="L8" i="28"/>
  <c r="U8" i="28" s="1"/>
  <c r="I8" i="28"/>
  <c r="R8" i="28" s="1"/>
  <c r="I49" i="28"/>
  <c r="R49" i="28" s="1"/>
  <c r="BF49" i="27"/>
  <c r="BG49" i="27"/>
  <c r="J49" i="28"/>
  <c r="K49" i="28"/>
  <c r="T49" i="28" s="1"/>
  <c r="L49" i="28"/>
  <c r="U49" i="28" s="1"/>
  <c r="BH49" i="27"/>
  <c r="Q49" i="19"/>
  <c r="DK49" i="27"/>
  <c r="ES49" i="27"/>
  <c r="EL16" i="27"/>
  <c r="ER22" i="27"/>
  <c r="DE48" i="27"/>
  <c r="EP22" i="27"/>
  <c r="BY33" i="27"/>
  <c r="CQ33" i="27" s="1"/>
  <c r="BS37" i="27"/>
  <c r="CK37" i="27" s="1"/>
  <c r="CJ24" i="27"/>
  <c r="BO14" i="27"/>
  <c r="CH14" i="27" s="1"/>
  <c r="BX14" i="27"/>
  <c r="BV14" i="27"/>
  <c r="CM14" i="27" s="1"/>
  <c r="EN25" i="27"/>
  <c r="EP25" i="27" s="1"/>
  <c r="CC30" i="27"/>
  <c r="CU30" i="27" s="1"/>
  <c r="CF38" i="27"/>
  <c r="CX38" i="27" s="1"/>
  <c r="EB38" i="27"/>
  <c r="EM38" i="27" s="1"/>
  <c r="DP38" i="27"/>
  <c r="BX38" i="27"/>
  <c r="CP38" i="27" s="1"/>
  <c r="BH94" i="27"/>
  <c r="ED4" i="27"/>
  <c r="EK4" i="27" s="1"/>
  <c r="BJ53" i="27"/>
  <c r="BU7" i="27"/>
  <c r="DO7" i="27"/>
  <c r="CE7" i="27"/>
  <c r="CS43" i="27"/>
  <c r="CG25" i="27"/>
  <c r="AH110" i="17"/>
  <c r="BQ85" i="27"/>
  <c r="CH28" i="27"/>
  <c r="BQ69" i="27"/>
  <c r="EP32" i="27"/>
  <c r="EA47" i="27"/>
  <c r="EN47" i="27" s="1"/>
  <c r="V136" i="19"/>
  <c r="Y136" i="19" s="1"/>
  <c r="CB47" i="27"/>
  <c r="CT47" i="27" s="1"/>
  <c r="BU47" i="27"/>
  <c r="CM47" i="27" s="1"/>
  <c r="W98" i="19"/>
  <c r="Z98" i="19" s="1"/>
  <c r="BT17" i="27"/>
  <c r="CL17" i="27" s="1"/>
  <c r="BV17" i="27"/>
  <c r="CN17" i="27" s="1"/>
  <c r="BY17" i="27"/>
  <c r="CQ17" i="27" s="1"/>
  <c r="BN17" i="27"/>
  <c r="BW17" i="27"/>
  <c r="CO17" i="27" s="1"/>
  <c r="BJ68" i="27"/>
  <c r="BN68" i="27" s="1"/>
  <c r="BP68" i="27" s="1"/>
  <c r="BP16" i="27"/>
  <c r="CI16" i="27" s="1"/>
  <c r="BO16" i="27"/>
  <c r="CG16" i="27" s="1"/>
  <c r="CF16" i="27"/>
  <c r="CX16" i="27" s="1"/>
  <c r="BX16" i="27"/>
  <c r="CP16" i="27" s="1"/>
  <c r="M116" i="17"/>
  <c r="BF75" i="27"/>
  <c r="BQ75" i="27" s="1"/>
  <c r="CB23" i="27"/>
  <c r="CT23" i="27" s="1"/>
  <c r="BR23" i="27"/>
  <c r="BN23" i="27"/>
  <c r="AF111" i="17" s="1"/>
  <c r="BU23" i="27"/>
  <c r="CA23" i="27"/>
  <c r="CS23" i="27" s="1"/>
  <c r="BX23" i="27"/>
  <c r="CP23" i="27" s="1"/>
  <c r="BW23" i="27"/>
  <c r="BS23" i="27"/>
  <c r="BP23" i="27"/>
  <c r="CF23" i="27"/>
  <c r="CX23" i="27" s="1"/>
  <c r="DM28" i="27"/>
  <c r="DN28" i="27" s="1"/>
  <c r="AK116" i="17"/>
  <c r="EC45" i="27"/>
  <c r="U134" i="19"/>
  <c r="CD45" i="27"/>
  <c r="CV45" i="27" s="1"/>
  <c r="BX45" i="27"/>
  <c r="CP45" i="27" s="1"/>
  <c r="BQ45" i="27"/>
  <c r="CI45" i="27" s="1"/>
  <c r="BR45" i="27"/>
  <c r="CJ45" i="27" s="1"/>
  <c r="BQ86" i="27"/>
  <c r="BN60" i="27"/>
  <c r="BP60" i="27" s="1"/>
  <c r="CW40" i="27"/>
  <c r="CG32" i="27"/>
  <c r="CN43" i="27"/>
  <c r="EP18" i="27"/>
  <c r="BQ65" i="27"/>
  <c r="BG84" i="27"/>
  <c r="BQ84" i="27" s="1"/>
  <c r="CC32" i="27"/>
  <c r="CU32" i="27" s="1"/>
  <c r="BY32" i="27"/>
  <c r="CQ32" i="27" s="1"/>
  <c r="CB32" i="27"/>
  <c r="CT32" i="27" s="1"/>
  <c r="BZ32" i="27"/>
  <c r="CR32" i="27" s="1"/>
  <c r="BQ30" i="27"/>
  <c r="CI30" i="27" s="1"/>
  <c r="CA30" i="27"/>
  <c r="CS30" i="27" s="1"/>
  <c r="CF30" i="27"/>
  <c r="CX30" i="27" s="1"/>
  <c r="BW30" i="27"/>
  <c r="CO30" i="27" s="1"/>
  <c r="BY30" i="27"/>
  <c r="CQ30" i="27" s="1"/>
  <c r="BO30" i="27"/>
  <c r="CG30" i="27" s="1"/>
  <c r="V91" i="19"/>
  <c r="Y91" i="19" s="1"/>
  <c r="EA11" i="27"/>
  <c r="BG61" i="27"/>
  <c r="BQ61" i="27" s="1"/>
  <c r="W114" i="19"/>
  <c r="Z114" i="19" s="1"/>
  <c r="EB33" i="27"/>
  <c r="EM33" i="27" s="1"/>
  <c r="DM8" i="27"/>
  <c r="DN8" i="27" s="1"/>
  <c r="DP40" i="27"/>
  <c r="EB40" i="27"/>
  <c r="EM40" i="27" s="1"/>
  <c r="EP40" i="27" s="1"/>
  <c r="BH99" i="27"/>
  <c r="W128" i="19"/>
  <c r="Z128" i="19" s="1"/>
  <c r="BQ40" i="27"/>
  <c r="BO40" i="27"/>
  <c r="CG40" i="27" s="1"/>
  <c r="CX40" i="27" s="1"/>
  <c r="CC40" i="27"/>
  <c r="BT40" i="27"/>
  <c r="CA40" i="27"/>
  <c r="BQ100" i="27"/>
  <c r="EB29" i="27"/>
  <c r="EM29" i="27" s="1"/>
  <c r="W110" i="19"/>
  <c r="Z110" i="19" s="1"/>
  <c r="DO17" i="27"/>
  <c r="EA17" i="27"/>
  <c r="EN17" i="27" s="1"/>
  <c r="S98" i="19"/>
  <c r="EB42" i="27"/>
  <c r="EM42" i="27" s="1"/>
  <c r="W131" i="19"/>
  <c r="Z131" i="19" s="1"/>
  <c r="EB45" i="27"/>
  <c r="EM45" i="27" s="1"/>
  <c r="DP45" i="27"/>
  <c r="F3" i="17"/>
  <c r="BL3" i="17" s="1"/>
  <c r="BO92" i="27"/>
  <c r="BO114" i="27"/>
  <c r="F33" i="17"/>
  <c r="BL33" i="17" s="1"/>
  <c r="F37" i="17"/>
  <c r="BL37" i="17" s="1"/>
  <c r="BO95" i="27"/>
  <c r="DT51" i="27"/>
  <c r="F50" i="17"/>
  <c r="BL50" i="17" s="1"/>
  <c r="BK15" i="27"/>
  <c r="EE15" i="27" s="1"/>
  <c r="EJ15" i="27" s="1"/>
  <c r="L15" i="19"/>
  <c r="BN98" i="27"/>
  <c r="AA141" i="19"/>
  <c r="Z124" i="19"/>
  <c r="BJ6" i="27"/>
  <c r="BH6" i="27"/>
  <c r="M6" i="28"/>
  <c r="V6" i="28" s="1"/>
  <c r="F29" i="17"/>
  <c r="BL29" i="17" s="1"/>
  <c r="K26" i="28"/>
  <c r="T26" i="28" s="1"/>
  <c r="J26" i="28"/>
  <c r="S26" i="28" s="1"/>
  <c r="ES43" i="27"/>
  <c r="Q43" i="19"/>
  <c r="N90" i="19"/>
  <c r="N95" i="19"/>
  <c r="N103" i="19"/>
  <c r="N83" i="19"/>
  <c r="N101" i="19"/>
  <c r="S41" i="30"/>
  <c r="F27" i="17"/>
  <c r="BL27" i="17" s="1"/>
  <c r="F149" i="17"/>
  <c r="BL149" i="17" s="1"/>
  <c r="AH83" i="17"/>
  <c r="AY58" i="17"/>
  <c r="AM58" i="17"/>
  <c r="AY64" i="17"/>
  <c r="AZ58" i="17"/>
  <c r="BB58" i="17"/>
  <c r="AI64" i="17"/>
  <c r="AW64" i="17"/>
  <c r="M64" i="17"/>
  <c r="W56" i="17"/>
  <c r="AI58" i="17"/>
  <c r="AA69" i="17"/>
  <c r="AA72" i="17"/>
  <c r="W66" i="17"/>
  <c r="AT69" i="17"/>
  <c r="AX67" i="17"/>
  <c r="AT62" i="17"/>
  <c r="AT65" i="17"/>
  <c r="AT67" i="17"/>
  <c r="AT57" i="17"/>
  <c r="R67" i="17"/>
  <c r="R69" i="17"/>
  <c r="R61" i="17"/>
  <c r="AH69" i="17"/>
  <c r="AH67" i="17"/>
  <c r="AH71" i="17"/>
  <c r="AH59" i="17"/>
  <c r="AQ59" i="17"/>
  <c r="AQ70" i="17"/>
  <c r="AQ68" i="17"/>
  <c r="AQ63" i="17"/>
  <c r="AM57" i="17"/>
  <c r="AM61" i="17"/>
  <c r="AM59" i="17"/>
  <c r="AM68" i="17"/>
  <c r="AK72" i="17"/>
  <c r="AK70" i="17"/>
  <c r="O66" i="17"/>
  <c r="O70" i="17"/>
  <c r="O65" i="17"/>
  <c r="O39" i="17"/>
  <c r="O59" i="17"/>
  <c r="AQ39" i="17"/>
  <c r="AA57" i="17"/>
  <c r="AA56" i="17"/>
  <c r="W71" i="17"/>
  <c r="W68" i="17"/>
  <c r="AX70" i="17"/>
  <c r="AT70" i="17"/>
  <c r="AT71" i="17"/>
  <c r="R62" i="17"/>
  <c r="R39" i="17"/>
  <c r="AT66" i="17"/>
  <c r="Z64" i="17"/>
  <c r="AH64" i="17"/>
  <c r="AH57" i="17"/>
  <c r="AH68" i="17"/>
  <c r="AQ71" i="17"/>
  <c r="AK68" i="17"/>
  <c r="AM39" i="17"/>
  <c r="AQ66" i="17"/>
  <c r="AQ72" i="17"/>
  <c r="AQ69" i="17"/>
  <c r="AM67" i="17"/>
  <c r="AM66" i="17"/>
  <c r="AM69" i="17"/>
  <c r="AM65" i="17"/>
  <c r="AK66" i="17"/>
  <c r="AK39" i="17"/>
  <c r="AK67" i="17"/>
  <c r="O69" i="17"/>
  <c r="O72" i="17"/>
  <c r="O63" i="17"/>
  <c r="AM71" i="17"/>
  <c r="AK56" i="17"/>
  <c r="W61" i="17"/>
  <c r="AT39" i="17"/>
  <c r="AT56" i="17"/>
  <c r="AT68" i="17"/>
  <c r="R57" i="17"/>
  <c r="R59" i="17"/>
  <c r="R66" i="17"/>
  <c r="AH70" i="17"/>
  <c r="AH39" i="17"/>
  <c r="AD64" i="17"/>
  <c r="AQ57" i="17"/>
  <c r="AM64" i="17"/>
  <c r="AK62" i="17"/>
  <c r="AK69" i="17"/>
  <c r="AK61" i="17"/>
  <c r="U63" i="17"/>
  <c r="O71" i="17"/>
  <c r="R72" i="17"/>
  <c r="AB144" i="17"/>
  <c r="AB64" i="17"/>
  <c r="AB58" i="17"/>
  <c r="W67" i="17"/>
  <c r="W39" i="17"/>
  <c r="W57" i="17"/>
  <c r="W70" i="17"/>
  <c r="W65" i="17"/>
  <c r="W72" i="17"/>
  <c r="AA66" i="17"/>
  <c r="AA67" i="17"/>
  <c r="AA63" i="17"/>
  <c r="AA70" i="17"/>
  <c r="AA39" i="17"/>
  <c r="AA65" i="17"/>
  <c r="AA68" i="17"/>
  <c r="AA59" i="17"/>
  <c r="AA61" i="17"/>
  <c r="AX66" i="17"/>
  <c r="AX57" i="17"/>
  <c r="AX71" i="17"/>
  <c r="AX69" i="17"/>
  <c r="AX39" i="17"/>
  <c r="AX61" i="17"/>
  <c r="AX59" i="17"/>
  <c r="AX65" i="17"/>
  <c r="AX72" i="17"/>
  <c r="AU66" i="17"/>
  <c r="AU57" i="17"/>
  <c r="AU56" i="17"/>
  <c r="AU61" i="17"/>
  <c r="AU59" i="17"/>
  <c r="AU67" i="17"/>
  <c r="AU71" i="17"/>
  <c r="AU39" i="17"/>
  <c r="AU69" i="17"/>
  <c r="AU62" i="17"/>
  <c r="AU68" i="17"/>
  <c r="AU72" i="17"/>
  <c r="AU64" i="17"/>
  <c r="AQ113" i="17"/>
  <c r="AQ58" i="17"/>
  <c r="O58" i="17"/>
  <c r="O64" i="17"/>
  <c r="AP58" i="17"/>
  <c r="U62" i="17"/>
  <c r="U66" i="17"/>
  <c r="U57" i="17"/>
  <c r="U58" i="17"/>
  <c r="U59" i="17"/>
  <c r="U64" i="17"/>
  <c r="U65" i="17"/>
  <c r="U72" i="17"/>
  <c r="U67" i="17"/>
  <c r="U39" i="17"/>
  <c r="Y67" i="17"/>
  <c r="Y57" i="17"/>
  <c r="Y61" i="17"/>
  <c r="Y39" i="17"/>
  <c r="Y72" i="17"/>
  <c r="Y66" i="17"/>
  <c r="Y63" i="17"/>
  <c r="Y62" i="17"/>
  <c r="Y68" i="17"/>
  <c r="Y59" i="17"/>
  <c r="Y56" i="17"/>
  <c r="Y70" i="17"/>
  <c r="AC71" i="17"/>
  <c r="AC62" i="17"/>
  <c r="AC65" i="17"/>
  <c r="AC61" i="17"/>
  <c r="AC66" i="17"/>
  <c r="AC59" i="17"/>
  <c r="AC69" i="17"/>
  <c r="AC57" i="17"/>
  <c r="AC39" i="17"/>
  <c r="AC63" i="17"/>
  <c r="AC56" i="17"/>
  <c r="AC67" i="17"/>
  <c r="AF71" i="17"/>
  <c r="AF69" i="17"/>
  <c r="AF72" i="17"/>
  <c r="AF65" i="17"/>
  <c r="AF70" i="17"/>
  <c r="AF64" i="17"/>
  <c r="AF68" i="17"/>
  <c r="AF67" i="17"/>
  <c r="AF63" i="17"/>
  <c r="AF39" i="17"/>
  <c r="AF62" i="17"/>
  <c r="AF66" i="17"/>
  <c r="AF58" i="17"/>
  <c r="AL64" i="17"/>
  <c r="AL72" i="17"/>
  <c r="AL39" i="17"/>
  <c r="AL71" i="17"/>
  <c r="AL70" i="17"/>
  <c r="AL58" i="17"/>
  <c r="AO65" i="17"/>
  <c r="AO57" i="17"/>
  <c r="AO63" i="17"/>
  <c r="AO61" i="17"/>
  <c r="AO64" i="17"/>
  <c r="AO39" i="17"/>
  <c r="N63" i="17"/>
  <c r="N65" i="17"/>
  <c r="N68" i="17"/>
  <c r="N71" i="17"/>
  <c r="N66" i="17"/>
  <c r="N59" i="17"/>
  <c r="N57" i="17"/>
  <c r="N69" i="17"/>
  <c r="N62" i="17"/>
  <c r="AH58" i="17"/>
  <c r="AL62" i="17"/>
  <c r="M58" i="17"/>
  <c r="AD58" i="17"/>
  <c r="AH63" i="17"/>
  <c r="AF40" i="17"/>
  <c r="S79" i="17"/>
  <c r="EP38" i="27"/>
  <c r="EN38" i="27"/>
  <c r="EP43" i="27"/>
  <c r="DB19" i="27"/>
  <c r="ER27" i="27"/>
  <c r="BQ108" i="27"/>
  <c r="BO108" i="27"/>
  <c r="BP108" i="27" s="1"/>
  <c r="CI35" i="27"/>
  <c r="CH35" i="27"/>
  <c r="EP19" i="27"/>
  <c r="EN19" i="27"/>
  <c r="CO14" i="27"/>
  <c r="CP14" i="27"/>
  <c r="CN14" i="27"/>
  <c r="EN28" i="27"/>
  <c r="EP28" i="27"/>
  <c r="EN27" i="27"/>
  <c r="EP27" i="27"/>
  <c r="ER42" i="27"/>
  <c r="EP42" i="27"/>
  <c r="EL42" i="27"/>
  <c r="EN20" i="27"/>
  <c r="ER20" i="27"/>
  <c r="CP25" i="27"/>
  <c r="CQ25" i="27"/>
  <c r="DI25" i="27"/>
  <c r="CI25" i="27"/>
  <c r="EN48" i="27"/>
  <c r="EP48" i="27" s="1"/>
  <c r="BO68" i="27"/>
  <c r="BQ68" i="27"/>
  <c r="CI33" i="27"/>
  <c r="CH33" i="27"/>
  <c r="ER43" i="27"/>
  <c r="CO24" i="27"/>
  <c r="CQ24" i="27"/>
  <c r="AG111" i="17"/>
  <c r="AG110" i="17"/>
  <c r="EM10" i="27"/>
  <c r="EP10" i="27" s="1"/>
  <c r="BN80" i="27"/>
  <c r="BO80" i="27"/>
  <c r="BO81" i="27"/>
  <c r="BN81" i="27"/>
  <c r="BP81" i="27" s="1"/>
  <c r="CH11" i="27"/>
  <c r="CJ11" i="27"/>
  <c r="CI11" i="27"/>
  <c r="CI31" i="27"/>
  <c r="CJ31" i="27"/>
  <c r="AV111" i="17"/>
  <c r="CG39" i="27"/>
  <c r="CI10" i="27"/>
  <c r="CH10" i="27"/>
  <c r="DI11" i="27"/>
  <c r="CG11" i="27"/>
  <c r="EL47" i="27"/>
  <c r="CO9" i="27"/>
  <c r="CP9" i="27"/>
  <c r="EN50" i="27"/>
  <c r="EO31" i="27"/>
  <c r="EP31" i="27" s="1"/>
  <c r="EL49" i="27"/>
  <c r="EM16" i="27"/>
  <c r="DK46" i="27"/>
  <c r="DM46" i="27" s="1"/>
  <c r="DN46" i="27" s="1"/>
  <c r="ER38" i="27"/>
  <c r="DK31" i="27"/>
  <c r="DM31" i="27" s="1"/>
  <c r="DN31" i="27" s="1"/>
  <c r="ER32" i="27"/>
  <c r="CJ43" i="27"/>
  <c r="CL43" i="27"/>
  <c r="DJ43" i="27"/>
  <c r="CH43" i="27"/>
  <c r="CM9" i="27"/>
  <c r="CL9" i="27"/>
  <c r="BO71" i="27"/>
  <c r="BQ71" i="27"/>
  <c r="BN71" i="27"/>
  <c r="ER37" i="27"/>
  <c r="EP37" i="27"/>
  <c r="BN73" i="27"/>
  <c r="BP73" i="27" s="1"/>
  <c r="BQ73" i="27"/>
  <c r="ER21" i="27"/>
  <c r="EL21" i="27"/>
  <c r="CI12" i="27"/>
  <c r="CJ12" i="27"/>
  <c r="CN31" i="27"/>
  <c r="CM31" i="27"/>
  <c r="BD110" i="17"/>
  <c r="DJ47" i="27"/>
  <c r="BD111" i="17"/>
  <c r="CL18" i="27"/>
  <c r="CJ18" i="27"/>
  <c r="BQ70" i="27"/>
  <c r="BN70" i="27"/>
  <c r="BO61" i="27"/>
  <c r="CG23" i="27"/>
  <c r="AF110" i="17"/>
  <c r="CK43" i="27"/>
  <c r="CH27" i="27"/>
  <c r="DE27" i="27" s="1"/>
  <c r="BQ81" i="27"/>
  <c r="CH23" i="27"/>
  <c r="DG48" i="27"/>
  <c r="CK25" i="27"/>
  <c r="CO25" i="27"/>
  <c r="BN105" i="27"/>
  <c r="CM21" i="27"/>
  <c r="BQ110" i="27"/>
  <c r="CK24" i="27"/>
  <c r="DB48" i="27"/>
  <c r="BP110" i="27"/>
  <c r="CJ9" i="27"/>
  <c r="CG35" i="27"/>
  <c r="DE35" i="27" s="1"/>
  <c r="EP24" i="27"/>
  <c r="BQ60" i="27"/>
  <c r="CG13" i="27"/>
  <c r="BO74" i="27"/>
  <c r="BN83" i="27"/>
  <c r="DJ31" i="27"/>
  <c r="AN123" i="17" s="1"/>
  <c r="BO70" i="27"/>
  <c r="BN77" i="27"/>
  <c r="BP77" i="27" s="1"/>
  <c r="BN79" i="27"/>
  <c r="CH29" i="27"/>
  <c r="CH17" i="27"/>
  <c r="BO96" i="27"/>
  <c r="BP96" i="27" s="1"/>
  <c r="CK32" i="27"/>
  <c r="DM24" i="27"/>
  <c r="DN24" i="27" s="1"/>
  <c r="BN84" i="27"/>
  <c r="EB47" i="27"/>
  <c r="EM47" i="27" s="1"/>
  <c r="T136" i="19"/>
  <c r="BH109" i="27"/>
  <c r="DM5" i="27"/>
  <c r="DN5" i="27" s="1"/>
  <c r="BI63" i="27"/>
  <c r="BO63" i="27" s="1"/>
  <c r="EC13" i="27"/>
  <c r="AM116" i="17"/>
  <c r="EC33" i="27"/>
  <c r="X114" i="19"/>
  <c r="AA114" i="19" s="1"/>
  <c r="S86" i="19"/>
  <c r="DO6" i="27"/>
  <c r="V86" i="19"/>
  <c r="Y86" i="19" s="1"/>
  <c r="BJ113" i="27"/>
  <c r="ED50" i="27"/>
  <c r="EK50" i="27" s="1"/>
  <c r="BQ98" i="27"/>
  <c r="BQ57" i="27"/>
  <c r="BQ111" i="27"/>
  <c r="BQ55" i="27"/>
  <c r="BO55" i="27"/>
  <c r="BP55" i="27" s="1"/>
  <c r="BN103" i="27"/>
  <c r="BN114" i="27"/>
  <c r="BF4" i="27"/>
  <c r="CB4" i="27" s="1"/>
  <c r="CT4" i="27" s="1"/>
  <c r="M4" i="28"/>
  <c r="V4" i="28" s="1"/>
  <c r="J4" i="28"/>
  <c r="S4" i="28" s="1"/>
  <c r="L4" i="28"/>
  <c r="U4" i="28" s="1"/>
  <c r="BH20" i="27"/>
  <c r="CF20" i="27" s="1"/>
  <c r="CX20" i="27" s="1"/>
  <c r="K20" i="28"/>
  <c r="T20" i="28" s="1"/>
  <c r="BG44" i="27"/>
  <c r="BH44" i="27"/>
  <c r="BJ44" i="27"/>
  <c r="BK44" i="27"/>
  <c r="I44" i="28"/>
  <c r="R44" i="28" s="1"/>
  <c r="N20" i="28"/>
  <c r="W20" i="28" s="1"/>
  <c r="M44" i="28"/>
  <c r="V44" i="28" s="1"/>
  <c r="L44" i="28"/>
  <c r="U44" i="28" s="1"/>
  <c r="N4" i="28"/>
  <c r="W4" i="28" s="1"/>
  <c r="BN55" i="27"/>
  <c r="BO88" i="27"/>
  <c r="BN88" i="27"/>
  <c r="BQ97" i="27"/>
  <c r="BO98" i="27"/>
  <c r="K18" i="28"/>
  <c r="T18" i="28" s="1"/>
  <c r="M18" i="28"/>
  <c r="V18" i="28" s="1"/>
  <c r="N18" i="28"/>
  <c r="W18" i="28" s="1"/>
  <c r="I18" i="28"/>
  <c r="R18" i="28" s="1"/>
  <c r="O44" i="28"/>
  <c r="X44" i="28" s="1"/>
  <c r="J20" i="28"/>
  <c r="S20" i="28" s="1"/>
  <c r="K44" i="28"/>
  <c r="T44" i="28" s="1"/>
  <c r="BO86" i="27"/>
  <c r="N116" i="19"/>
  <c r="N123" i="19"/>
  <c r="L23" i="19"/>
  <c r="Q11" i="19"/>
  <c r="T9" i="17" s="1"/>
  <c r="BC70" i="17"/>
  <c r="N100" i="19"/>
  <c r="N112" i="19"/>
  <c r="N119" i="19"/>
  <c r="S42" i="30"/>
  <c r="S43" i="30"/>
  <c r="S45" i="30"/>
  <c r="S46" i="30"/>
  <c r="S48" i="30"/>
  <c r="S51" i="30"/>
  <c r="S53" i="30"/>
  <c r="BO115" i="27"/>
  <c r="BN95" i="27"/>
  <c r="BP95" i="27" s="1"/>
  <c r="F130" i="17"/>
  <c r="BL130" i="17" s="1"/>
  <c r="Q31" i="19"/>
  <c r="Q47" i="19"/>
  <c r="BJ15" i="27"/>
  <c r="BV15" i="27" s="1"/>
  <c r="CN15" i="27" s="1"/>
  <c r="BI41" i="27"/>
  <c r="U130" i="19" s="1"/>
  <c r="V40" i="17"/>
  <c r="BQ64" i="27"/>
  <c r="F25" i="17"/>
  <c r="BL25" i="17" s="1"/>
  <c r="F28" i="17"/>
  <c r="BL28" i="17" s="1"/>
  <c r="F31" i="17"/>
  <c r="BL31" i="17" s="1"/>
  <c r="F30" i="17"/>
  <c r="BL30" i="17" s="1"/>
  <c r="DR51" i="27"/>
  <c r="DS51" i="27"/>
  <c r="BO67" i="27"/>
  <c r="BO103" i="27"/>
  <c r="F128" i="17"/>
  <c r="BL128" i="17" s="1"/>
  <c r="F129" i="17"/>
  <c r="BL129" i="17" s="1"/>
  <c r="F131" i="17"/>
  <c r="BL131" i="17" s="1"/>
  <c r="F132" i="17"/>
  <c r="BL132" i="17" s="1"/>
  <c r="Q39" i="19"/>
  <c r="N98" i="19"/>
  <c r="N15" i="28"/>
  <c r="W15" i="28" s="1"/>
  <c r="M41" i="28"/>
  <c r="V41" i="28" s="1"/>
  <c r="BF8" i="27"/>
  <c r="BY8" i="27" s="1"/>
  <c r="CQ8" i="27" s="1"/>
  <c r="AX53" i="17"/>
  <c r="G45" i="28"/>
  <c r="BL102" i="27"/>
  <c r="EA41" i="27"/>
  <c r="EN41" i="27" s="1"/>
  <c r="EC41" i="27"/>
  <c r="EL41" i="27" s="1"/>
  <c r="EB41" i="27"/>
  <c r="EM41" i="27" s="1"/>
  <c r="BO41" i="27"/>
  <c r="S130" i="19"/>
  <c r="DO41" i="27"/>
  <c r="T130" i="19"/>
  <c r="BW41" i="27"/>
  <c r="CO41" i="27" s="1"/>
  <c r="BG102" i="27"/>
  <c r="BH102" i="27"/>
  <c r="BU41" i="27"/>
  <c r="CM41" i="27" s="1"/>
  <c r="CF41" i="27"/>
  <c r="CX41" i="27" s="1"/>
  <c r="BX41" i="27"/>
  <c r="CP41" i="27" s="1"/>
  <c r="BN41" i="27"/>
  <c r="BZ41" i="27"/>
  <c r="CR41" i="27" s="1"/>
  <c r="W130" i="19"/>
  <c r="Z130" i="19" s="1"/>
  <c r="CD41" i="27"/>
  <c r="CV41" i="27" s="1"/>
  <c r="BY41" i="27"/>
  <c r="CQ41" i="27" s="1"/>
  <c r="BT41" i="27"/>
  <c r="CL41" i="27" s="1"/>
  <c r="AY82" i="17"/>
  <c r="S147" i="17"/>
  <c r="S146" i="17"/>
  <c r="Q41" i="19"/>
  <c r="BC144" i="17"/>
  <c r="R85" i="17"/>
  <c r="AP83" i="17"/>
  <c r="BH80" i="17"/>
  <c r="BH147" i="17"/>
  <c r="S40" i="17"/>
  <c r="BA83" i="17"/>
  <c r="BH146" i="17"/>
  <c r="G44" i="28"/>
  <c r="BE82" i="17"/>
  <c r="V56" i="17"/>
  <c r="AP113" i="17"/>
  <c r="BH8" i="17"/>
  <c r="BH10" i="17" s="1"/>
  <c r="R86" i="17"/>
  <c r="BC58" i="17"/>
  <c r="AT82" i="17"/>
  <c r="BB125" i="17"/>
  <c r="V79" i="17"/>
  <c r="V61" i="17"/>
  <c r="AY53" i="17"/>
  <c r="EA15" i="27"/>
  <c r="EN15" i="27" s="1"/>
  <c r="AS40" i="17"/>
  <c r="EB15" i="27"/>
  <c r="EM15" i="27" s="1"/>
  <c r="BK66" i="27"/>
  <c r="AA86" i="17"/>
  <c r="AC64" i="17"/>
  <c r="AA82" i="17"/>
  <c r="BD82" i="17"/>
  <c r="S83" i="17"/>
  <c r="BG66" i="27"/>
  <c r="AG40" i="17"/>
  <c r="AF79" i="17"/>
  <c r="Q147" i="17"/>
  <c r="Y40" i="17"/>
  <c r="DO15" i="27"/>
  <c r="BE53" i="17"/>
  <c r="BA53" i="17"/>
  <c r="AO82" i="17"/>
  <c r="BF66" i="27"/>
  <c r="U82" i="17"/>
  <c r="AU82" i="17"/>
  <c r="S8" i="17"/>
  <c r="S10" i="17" s="1"/>
  <c r="S145" i="17"/>
  <c r="S144" i="17"/>
  <c r="S61" i="17"/>
  <c r="S56" i="17"/>
  <c r="BL66" i="27"/>
  <c r="BI66" i="27"/>
  <c r="AC125" i="17"/>
  <c r="AL145" i="17"/>
  <c r="AN82" i="17"/>
  <c r="BC40" i="17"/>
  <c r="BH62" i="17"/>
  <c r="BC147" i="17"/>
  <c r="BH145" i="17"/>
  <c r="AI56" i="17"/>
  <c r="AI80" i="17"/>
  <c r="AB62" i="17"/>
  <c r="N96" i="19"/>
  <c r="BC145" i="17"/>
  <c r="BC8" i="17"/>
  <c r="BC10" i="17" s="1"/>
  <c r="AB147" i="17"/>
  <c r="BC113" i="17"/>
  <c r="BH113" i="17"/>
  <c r="AJ83" i="17"/>
  <c r="AI8" i="17"/>
  <c r="AI10" i="17" s="1"/>
  <c r="AI144" i="17"/>
  <c r="BC146" i="17"/>
  <c r="BC84" i="17"/>
  <c r="EC15" i="27"/>
  <c r="ER15" i="27" s="1"/>
  <c r="AU125" i="17"/>
  <c r="AL147" i="17"/>
  <c r="AT146" i="17"/>
  <c r="R112" i="17"/>
  <c r="AR86" i="17"/>
  <c r="Q54" i="17"/>
  <c r="BH144" i="17"/>
  <c r="AN86" i="17"/>
  <c r="BH56" i="17"/>
  <c r="N108" i="19"/>
  <c r="BH40" i="17"/>
  <c r="G6" i="28"/>
  <c r="BA86" i="17"/>
  <c r="BE83" i="17"/>
  <c r="U53" i="17"/>
  <c r="M147" i="17"/>
  <c r="AE56" i="17"/>
  <c r="AO54" i="17"/>
  <c r="AY144" i="17"/>
  <c r="AY113" i="17"/>
  <c r="AY80" i="17"/>
  <c r="AY40" i="17"/>
  <c r="AE62" i="17"/>
  <c r="N133" i="19"/>
  <c r="O108" i="17"/>
  <c r="AH108" i="17"/>
  <c r="Y147" i="17"/>
  <c r="AS58" i="17"/>
  <c r="W80" i="17"/>
  <c r="AC83" i="17"/>
  <c r="H25" i="28"/>
  <c r="Q25" i="28" s="1"/>
  <c r="Z25" i="28" s="1"/>
  <c r="AA25" i="28" s="1"/>
  <c r="AH126" i="17" s="1"/>
  <c r="BE144" i="17"/>
  <c r="AO62" i="17"/>
  <c r="W145" i="17"/>
  <c r="AO86" i="17"/>
  <c r="BH53" i="17"/>
  <c r="N85" i="17"/>
  <c r="AP85" i="17"/>
  <c r="N82" i="17"/>
  <c r="AO113" i="17"/>
  <c r="Y144" i="17"/>
  <c r="AO80" i="17"/>
  <c r="AG144" i="17"/>
  <c r="AS8" i="17"/>
  <c r="N110" i="19"/>
  <c r="AP82" i="17"/>
  <c r="BG83" i="17"/>
  <c r="AU53" i="17"/>
  <c r="AS144" i="17"/>
  <c r="AM144" i="17"/>
  <c r="AG79" i="17"/>
  <c r="AQ125" i="17"/>
  <c r="AM147" i="17"/>
  <c r="AH85" i="17"/>
  <c r="AH82" i="17"/>
  <c r="AT53" i="17"/>
  <c r="Z86" i="17"/>
  <c r="V53" i="17"/>
  <c r="BG85" i="17"/>
  <c r="AL85" i="17"/>
  <c r="AY83" i="17"/>
  <c r="F137" i="17"/>
  <c r="BL137" i="17" s="1"/>
  <c r="AG147" i="17"/>
  <c r="AG146" i="17"/>
  <c r="G7" i="28"/>
  <c r="AG8" i="17"/>
  <c r="AG10" i="17" s="1"/>
  <c r="G20" i="28"/>
  <c r="AG145" i="17"/>
  <c r="AT40" i="17"/>
  <c r="AT79" i="17"/>
  <c r="AE113" i="17"/>
  <c r="AE40" i="17"/>
  <c r="N91" i="19"/>
  <c r="AR82" i="17"/>
  <c r="BE86" i="17"/>
  <c r="BA85" i="17"/>
  <c r="AN85" i="17"/>
  <c r="AP53" i="17"/>
  <c r="N137" i="19"/>
  <c r="BC53" i="17"/>
  <c r="N131" i="19"/>
  <c r="R82" i="17"/>
  <c r="N86" i="17"/>
  <c r="V112" i="17"/>
  <c r="AJ82" i="17"/>
  <c r="AV53" i="17"/>
  <c r="V147" i="17"/>
  <c r="AY86" i="17"/>
  <c r="AM53" i="17"/>
  <c r="AR54" i="17"/>
  <c r="AA80" i="17"/>
  <c r="AM62" i="17"/>
  <c r="AG112" i="17"/>
  <c r="AG63" i="17"/>
  <c r="AG58" i="17"/>
  <c r="AH112" i="17"/>
  <c r="BA108" i="17"/>
  <c r="G18" i="28"/>
  <c r="AR85" i="17"/>
  <c r="AR83" i="17"/>
  <c r="N106" i="19"/>
  <c r="AN83" i="17"/>
  <c r="AJ85" i="17"/>
  <c r="AL86" i="17"/>
  <c r="N89" i="19"/>
  <c r="N84" i="19"/>
  <c r="N122" i="19"/>
  <c r="W54" i="17"/>
  <c r="AL83" i="17"/>
  <c r="AE53" i="17"/>
  <c r="N114" i="19"/>
  <c r="AI53" i="17"/>
  <c r="AD113" i="17"/>
  <c r="W147" i="17"/>
  <c r="AK83" i="17"/>
  <c r="Z53" i="17"/>
  <c r="N105" i="19"/>
  <c r="BB83" i="17"/>
  <c r="AG85" i="17"/>
  <c r="BB85" i="17"/>
  <c r="N140" i="19"/>
  <c r="F55" i="17"/>
  <c r="BL55" i="17" s="1"/>
  <c r="F101" i="17"/>
  <c r="BL101" i="17" s="1"/>
  <c r="BF125" i="17"/>
  <c r="AD40" i="17"/>
  <c r="AC82" i="17"/>
  <c r="W144" i="17"/>
  <c r="N113" i="19"/>
  <c r="AU112" i="17"/>
  <c r="AL53" i="17"/>
  <c r="N134" i="19"/>
  <c r="AD145" i="17"/>
  <c r="W113" i="17"/>
  <c r="AC86" i="17"/>
  <c r="AU40" i="17"/>
  <c r="BE146" i="17"/>
  <c r="R108" i="17"/>
  <c r="AJ145" i="17"/>
  <c r="N97" i="19"/>
  <c r="U85" i="17"/>
  <c r="AU63" i="17"/>
  <c r="G49" i="28"/>
  <c r="BG147" i="17"/>
  <c r="AY147" i="17"/>
  <c r="AY62" i="17"/>
  <c r="AH79" i="17"/>
  <c r="BA145" i="17"/>
  <c r="BE84" i="17"/>
  <c r="AL146" i="17"/>
  <c r="R125" i="17"/>
  <c r="BE125" i="17"/>
  <c r="AO83" i="17"/>
  <c r="AC85" i="17"/>
  <c r="AI40" i="17"/>
  <c r="AI62" i="17"/>
  <c r="AG83" i="17"/>
  <c r="AG86" i="17"/>
  <c r="BG82" i="17"/>
  <c r="N54" i="17"/>
  <c r="BB82" i="17"/>
  <c r="AM113" i="17"/>
  <c r="N146" i="17"/>
  <c r="T85" i="17"/>
  <c r="AB54" i="17"/>
  <c r="AF145" i="17"/>
  <c r="AE83" i="17"/>
  <c r="W86" i="17"/>
  <c r="AZ54" i="17"/>
  <c r="AU86" i="17"/>
  <c r="X53" i="17"/>
  <c r="W85" i="17"/>
  <c r="U56" i="17"/>
  <c r="AA146" i="17"/>
  <c r="G19" i="28"/>
  <c r="BA58" i="17"/>
  <c r="T86" i="17"/>
  <c r="AF8" i="17"/>
  <c r="AF56" i="17"/>
  <c r="AQ83" i="17"/>
  <c r="N88" i="19"/>
  <c r="Q82" i="17"/>
  <c r="AA83" i="17"/>
  <c r="N99" i="19"/>
  <c r="Q86" i="17"/>
  <c r="AQ86" i="17"/>
  <c r="AQ85" i="17"/>
  <c r="AM56" i="17"/>
  <c r="BA146" i="17"/>
  <c r="AM80" i="17"/>
  <c r="G25" i="28"/>
  <c r="Y108" i="17"/>
  <c r="T83" i="17"/>
  <c r="AF112" i="17"/>
  <c r="AF61" i="17"/>
  <c r="N132" i="19"/>
  <c r="Q85" i="17"/>
  <c r="AF146" i="17"/>
  <c r="AF147" i="17"/>
  <c r="G50" i="28"/>
  <c r="T54" i="17"/>
  <c r="AN53" i="17"/>
  <c r="AF144" i="17"/>
  <c r="AQ82" i="17"/>
  <c r="AW56" i="17"/>
  <c r="Z108" i="17"/>
  <c r="AA40" i="17"/>
  <c r="BG108" i="17"/>
  <c r="AJ80" i="17"/>
  <c r="AA145" i="17"/>
  <c r="AC58" i="17"/>
  <c r="AW144" i="17"/>
  <c r="AA8" i="17"/>
  <c r="H43" i="28"/>
  <c r="Q43" i="28" s="1"/>
  <c r="Z43" i="28" s="1"/>
  <c r="AA43" i="28" s="1"/>
  <c r="AZ126" i="17" s="1"/>
  <c r="AA64" i="17"/>
  <c r="AA58" i="17"/>
  <c r="N145" i="17"/>
  <c r="N147" i="17"/>
  <c r="AP125" i="17"/>
  <c r="AC80" i="17"/>
  <c r="AM40" i="17"/>
  <c r="AA125" i="17"/>
  <c r="Y125" i="17"/>
  <c r="AO125" i="17"/>
  <c r="G32" i="28"/>
  <c r="AM8" i="17"/>
  <c r="AM10" i="17" s="1"/>
  <c r="AK144" i="17"/>
  <c r="AA144" i="17"/>
  <c r="AH56" i="17"/>
  <c r="AW8" i="17"/>
  <c r="AW10" i="17" s="1"/>
  <c r="AW80" i="17"/>
  <c r="AC144" i="17"/>
  <c r="AC40" i="17"/>
  <c r="AC145" i="17"/>
  <c r="AM146" i="17"/>
  <c r="N40" i="17"/>
  <c r="G39" i="28"/>
  <c r="AH8" i="17"/>
  <c r="AH10" i="17" s="1"/>
  <c r="U108" i="17"/>
  <c r="AH40" i="17"/>
  <c r="G33" i="28"/>
  <c r="AQ108" i="17"/>
  <c r="N64" i="17"/>
  <c r="Q64" i="17"/>
  <c r="BB56" i="17"/>
  <c r="BD125" i="17"/>
  <c r="V82" i="17"/>
  <c r="V83" i="17"/>
  <c r="S82" i="17"/>
  <c r="N93" i="19"/>
  <c r="AK80" i="17"/>
  <c r="AK58" i="17"/>
  <c r="AE146" i="17"/>
  <c r="AE145" i="17"/>
  <c r="S54" i="17"/>
  <c r="S53" i="17"/>
  <c r="F143" i="17"/>
  <c r="BL143" i="17" s="1"/>
  <c r="F95" i="17"/>
  <c r="BL95" i="17" s="1"/>
  <c r="M113" i="17"/>
  <c r="AJ62" i="17"/>
  <c r="AJ8" i="17"/>
  <c r="AJ10" i="17" s="1"/>
  <c r="AJ147" i="17"/>
  <c r="Q8" i="17"/>
  <c r="Q10" i="17" s="1"/>
  <c r="H10" i="28"/>
  <c r="Q10" i="28" s="1"/>
  <c r="Z10" i="28" s="1"/>
  <c r="AA10" i="28" s="1"/>
  <c r="S126" i="17" s="1"/>
  <c r="R63" i="17"/>
  <c r="AJ144" i="17"/>
  <c r="W146" i="17"/>
  <c r="W64" i="17"/>
  <c r="W40" i="17"/>
  <c r="W58" i="17"/>
  <c r="BH125" i="17"/>
  <c r="BH108" i="17"/>
  <c r="AU85" i="17"/>
  <c r="AU83" i="17"/>
  <c r="P53" i="17"/>
  <c r="P54" i="17"/>
  <c r="G26" i="28"/>
  <c r="AI125" i="17"/>
  <c r="V8" i="17"/>
  <c r="V10" i="17" s="1"/>
  <c r="AP144" i="17"/>
  <c r="AP146" i="17"/>
  <c r="P86" i="17"/>
  <c r="P83" i="17"/>
  <c r="N87" i="19"/>
  <c r="AD85" i="17"/>
  <c r="AD82" i="17"/>
  <c r="AH54" i="17"/>
  <c r="AH53" i="17"/>
  <c r="AS53" i="17"/>
  <c r="AS54" i="17"/>
  <c r="BB54" i="17"/>
  <c r="BB53" i="17"/>
  <c r="BB146" i="17"/>
  <c r="BE70" i="17"/>
  <c r="AP62" i="17"/>
  <c r="AP80" i="17"/>
  <c r="BB144" i="17"/>
  <c r="G47" i="28"/>
  <c r="AP40" i="17"/>
  <c r="BB113" i="17"/>
  <c r="AP8" i="17"/>
  <c r="AP10" i="17" s="1"/>
  <c r="M62" i="17"/>
  <c r="BB8" i="17"/>
  <c r="BB10" i="17" s="1"/>
  <c r="AP56" i="17"/>
  <c r="R146" i="17"/>
  <c r="AJ56" i="17"/>
  <c r="AD83" i="17"/>
  <c r="V85" i="17"/>
  <c r="N102" i="19"/>
  <c r="AW113" i="17"/>
  <c r="AW62" i="17"/>
  <c r="AK64" i="17"/>
  <c r="AW146" i="17"/>
  <c r="AW41" i="17"/>
  <c r="F41" i="17" s="1"/>
  <c r="BL41" i="17" s="1"/>
  <c r="H29" i="28"/>
  <c r="Q29" i="28" s="1"/>
  <c r="Z29" i="28" s="1"/>
  <c r="AA29" i="28" s="1"/>
  <c r="AL126" i="17" s="1"/>
  <c r="AP145" i="17"/>
  <c r="AB108" i="17"/>
  <c r="H9" i="28"/>
  <c r="Q9" i="28" s="1"/>
  <c r="Z9" i="28" s="1"/>
  <c r="AA9" i="28" s="1"/>
  <c r="R126" i="17" s="1"/>
  <c r="AN108" i="17"/>
  <c r="M144" i="17"/>
  <c r="AN125" i="17"/>
  <c r="G17" i="28"/>
  <c r="M40" i="17"/>
  <c r="R79" i="17"/>
  <c r="P85" i="17"/>
  <c r="AJ40" i="17"/>
  <c r="AJ113" i="17"/>
  <c r="AD86" i="17"/>
  <c r="AB113" i="17"/>
  <c r="AB146" i="17"/>
  <c r="F36" i="17"/>
  <c r="BL36" i="17" s="1"/>
  <c r="F17" i="17"/>
  <c r="BL17" i="17" s="1"/>
  <c r="F47" i="17"/>
  <c r="BL47" i="17" s="1"/>
  <c r="F49" i="17"/>
  <c r="BL49" i="17" s="1"/>
  <c r="F99" i="17"/>
  <c r="BL99" i="17" s="1"/>
  <c r="F142" i="17"/>
  <c r="BL142" i="17" s="1"/>
  <c r="F109" i="17"/>
  <c r="BL109" i="17" s="1"/>
  <c r="P147" i="17"/>
  <c r="P146" i="17"/>
  <c r="AK86" i="17"/>
  <c r="AK85" i="17"/>
  <c r="N109" i="19"/>
  <c r="M54" i="17"/>
  <c r="M53" i="17"/>
  <c r="AG54" i="17"/>
  <c r="AG53" i="17"/>
  <c r="AQ80" i="17"/>
  <c r="AQ56" i="17"/>
  <c r="AQ145" i="17"/>
  <c r="AQ8" i="17"/>
  <c r="AQ10" i="17" s="1"/>
  <c r="AQ147" i="17"/>
  <c r="AQ146" i="17"/>
  <c r="AQ144" i="17"/>
  <c r="S13" i="28"/>
  <c r="H13" i="28"/>
  <c r="Q13" i="28" s="1"/>
  <c r="G28" i="28"/>
  <c r="AK125" i="17"/>
  <c r="AK108" i="17"/>
  <c r="F12" i="17"/>
  <c r="BL12" i="17" s="1"/>
  <c r="F124" i="17"/>
  <c r="BL124" i="17" s="1"/>
  <c r="AB82" i="17"/>
  <c r="AB86" i="17"/>
  <c r="AM85" i="17"/>
  <c r="N111" i="19"/>
  <c r="AM83" i="17"/>
  <c r="AM82" i="17"/>
  <c r="ES15" i="27"/>
  <c r="Q15" i="19"/>
  <c r="F89" i="17"/>
  <c r="BL89" i="17" s="1"/>
  <c r="F98" i="17"/>
  <c r="BL98" i="17" s="1"/>
  <c r="F127" i="17"/>
  <c r="BL127" i="17" s="1"/>
  <c r="F32" i="17"/>
  <c r="BL32" i="17" s="1"/>
  <c r="AB85" i="17"/>
  <c r="G13" i="28"/>
  <c r="AX82" i="17"/>
  <c r="AT86" i="17"/>
  <c r="U26" i="28"/>
  <c r="S15" i="28"/>
  <c r="AS147" i="17"/>
  <c r="AS145" i="17"/>
  <c r="AS80" i="17"/>
  <c r="AS146" i="17"/>
  <c r="AS113" i="17"/>
  <c r="AO146" i="17"/>
  <c r="AO144" i="17"/>
  <c r="U144" i="17"/>
  <c r="U8" i="17"/>
  <c r="U10" i="17" s="1"/>
  <c r="U145" i="17"/>
  <c r="U146" i="17"/>
  <c r="U147" i="17"/>
  <c r="R24" i="28"/>
  <c r="H24" i="28"/>
  <c r="Q24" i="28" s="1"/>
  <c r="R21" i="28"/>
  <c r="H21" i="28"/>
  <c r="Q21" i="28" s="1"/>
  <c r="AJ108" i="17"/>
  <c r="G27" i="28"/>
  <c r="F4" i="17"/>
  <c r="BL4" i="17" s="1"/>
  <c r="F141" i="17"/>
  <c r="BL141" i="17" s="1"/>
  <c r="F114" i="17"/>
  <c r="BL114" i="17" s="1"/>
  <c r="F115" i="17"/>
  <c r="BL115" i="17" s="1"/>
  <c r="F122" i="17"/>
  <c r="BL122" i="17" s="1"/>
  <c r="X82" i="17"/>
  <c r="X86" i="17"/>
  <c r="X83" i="17"/>
  <c r="AF83" i="17"/>
  <c r="N104" i="19"/>
  <c r="AF86" i="17"/>
  <c r="P8" i="17"/>
  <c r="P10" i="17" s="1"/>
  <c r="P145" i="17"/>
  <c r="V108" i="17"/>
  <c r="AT85" i="17"/>
  <c r="AM86" i="17"/>
  <c r="BG40" i="17"/>
  <c r="BG112" i="17"/>
  <c r="BG146" i="17"/>
  <c r="BE40" i="17"/>
  <c r="BE145" i="17"/>
  <c r="BE113" i="17"/>
  <c r="BE147" i="17"/>
  <c r="BE8" i="17"/>
  <c r="BE10" i="17" s="1"/>
  <c r="H32" i="28"/>
  <c r="Q32" i="28" s="1"/>
  <c r="Y53" i="17"/>
  <c r="Y54" i="17"/>
  <c r="AC54" i="17"/>
  <c r="AC53" i="17"/>
  <c r="AJ53" i="17"/>
  <c r="AJ54" i="17"/>
  <c r="AQ53" i="17"/>
  <c r="AQ54" i="17"/>
  <c r="F18" i="17"/>
  <c r="BL18" i="17" s="1"/>
  <c r="F7" i="17"/>
  <c r="BL7" i="17" s="1"/>
  <c r="F45" i="17"/>
  <c r="BL45" i="17" s="1"/>
  <c r="F52" i="17"/>
  <c r="BL52" i="17" s="1"/>
  <c r="F88" i="17"/>
  <c r="BL88" i="17" s="1"/>
  <c r="F96" i="17"/>
  <c r="BL96" i="17" s="1"/>
  <c r="P64" i="17"/>
  <c r="P40" i="17"/>
  <c r="P144" i="17"/>
  <c r="P113" i="17"/>
  <c r="P58" i="17"/>
  <c r="N130" i="19"/>
  <c r="AX83" i="17"/>
  <c r="AX86" i="17"/>
  <c r="T12" i="28"/>
  <c r="H12" i="28"/>
  <c r="Q12" i="28" s="1"/>
  <c r="R30" i="28"/>
  <c r="H30" i="28"/>
  <c r="Q30" i="28" s="1"/>
  <c r="F81" i="17"/>
  <c r="BL81" i="17" s="1"/>
  <c r="F139" i="17"/>
  <c r="BL139" i="17" s="1"/>
  <c r="AQ62" i="17"/>
  <c r="AQ40" i="17"/>
  <c r="AB83" i="17"/>
  <c r="AF85" i="17"/>
  <c r="P80" i="17"/>
  <c r="N107" i="19"/>
  <c r="AK145" i="17"/>
  <c r="AK146" i="17"/>
  <c r="AK8" i="17"/>
  <c r="Q144" i="17"/>
  <c r="Q146" i="17"/>
  <c r="Q113" i="17"/>
  <c r="Q58" i="17"/>
  <c r="Q145" i="17"/>
  <c r="Q40" i="17"/>
  <c r="AD80" i="17"/>
  <c r="AD56" i="17"/>
  <c r="AD146" i="17"/>
  <c r="R47" i="28"/>
  <c r="H47" i="28"/>
  <c r="Q47" i="28" s="1"/>
  <c r="W5" i="28"/>
  <c r="H5" i="28"/>
  <c r="Q5" i="28" s="1"/>
  <c r="AU8" i="17"/>
  <c r="AU10" i="17" s="1"/>
  <c r="AU147" i="17"/>
  <c r="AU58" i="17"/>
  <c r="AU146" i="17"/>
  <c r="AU79" i="17"/>
  <c r="AZ83" i="17"/>
  <c r="AZ86" i="17"/>
  <c r="AZ82" i="17"/>
  <c r="BD86" i="17"/>
  <c r="BD83" i="17"/>
  <c r="N136" i="19"/>
  <c r="M85" i="17"/>
  <c r="M86" i="17"/>
  <c r="M83" i="17"/>
  <c r="M82" i="17"/>
  <c r="N8" i="17"/>
  <c r="AW108" i="17"/>
  <c r="AV125" i="17"/>
  <c r="N80" i="17"/>
  <c r="M8" i="17"/>
  <c r="M10" i="17" s="1"/>
  <c r="M146" i="17"/>
  <c r="M145" i="17"/>
  <c r="H42" i="28"/>
  <c r="Q42" i="28" s="1"/>
  <c r="Z42" i="28" s="1"/>
  <c r="AA42" i="28" s="1"/>
  <c r="AY126" i="17" s="1"/>
  <c r="P125" i="17"/>
  <c r="AW125" i="17"/>
  <c r="R32" i="28"/>
  <c r="N92" i="19"/>
  <c r="U86" i="17"/>
  <c r="Y82" i="17"/>
  <c r="Y85" i="17"/>
  <c r="Y86" i="17"/>
  <c r="AK54" i="17"/>
  <c r="AK53" i="17"/>
  <c r="S85" i="17"/>
  <c r="S86" i="17"/>
  <c r="F103" i="17"/>
  <c r="BL103" i="17" s="1"/>
  <c r="V146" i="17"/>
  <c r="V145" i="17"/>
  <c r="V144" i="17"/>
  <c r="N58" i="17"/>
  <c r="M80" i="17"/>
  <c r="N144" i="17"/>
  <c r="W8" i="17"/>
  <c r="W10" i="17" s="1"/>
  <c r="T108" i="17"/>
  <c r="G11" i="28"/>
  <c r="AP147" i="17"/>
  <c r="AE82" i="17"/>
  <c r="AE86" i="17"/>
  <c r="AE85" i="17"/>
  <c r="O54" i="17"/>
  <c r="O53" i="17"/>
  <c r="R53" i="17"/>
  <c r="R54" i="17"/>
  <c r="H6" i="28"/>
  <c r="Q6" i="28" s="1"/>
  <c r="Z6" i="28" s="1"/>
  <c r="AA6" i="28" s="1"/>
  <c r="O126" i="17" s="1"/>
  <c r="O86" i="17"/>
  <c r="O82" i="17"/>
  <c r="O85" i="17"/>
  <c r="O83" i="17"/>
  <c r="BC82" i="17"/>
  <c r="N135" i="19"/>
  <c r="BC85" i="17"/>
  <c r="BD53" i="17"/>
  <c r="BD54" i="17"/>
  <c r="AD108" i="17"/>
  <c r="H19" i="28"/>
  <c r="Q19" i="28" s="1"/>
  <c r="Z19" i="28" s="1"/>
  <c r="AA19" i="28" s="1"/>
  <c r="AB126" i="17" s="1"/>
  <c r="AD125" i="17"/>
  <c r="AT8" i="17"/>
  <c r="AT10" i="17" s="1"/>
  <c r="AT63" i="17"/>
  <c r="AT145" i="17"/>
  <c r="AT58" i="17"/>
  <c r="AT144" i="17"/>
  <c r="AT112" i="17"/>
  <c r="AT147" i="17"/>
  <c r="AR108" i="17"/>
  <c r="AR125" i="17"/>
  <c r="R23" i="28"/>
  <c r="H23" i="28"/>
  <c r="Q23" i="28" s="1"/>
  <c r="AR113" i="17"/>
  <c r="AR8" i="17"/>
  <c r="AR10" i="17" s="1"/>
  <c r="AR146" i="17"/>
  <c r="AR69" i="17"/>
  <c r="AR147" i="17"/>
  <c r="AR40" i="17"/>
  <c r="AR144" i="17"/>
  <c r="AR84" i="17"/>
  <c r="AS83" i="17"/>
  <c r="AS85" i="17"/>
  <c r="N120" i="19"/>
  <c r="AV85" i="17"/>
  <c r="AV86" i="17"/>
  <c r="N125" i="19"/>
  <c r="AV82" i="17"/>
  <c r="H39" i="28"/>
  <c r="Q39" i="28" s="1"/>
  <c r="Z39" i="28" s="1"/>
  <c r="AA39" i="28" s="1"/>
  <c r="AV126" i="17" s="1"/>
  <c r="H27" i="28"/>
  <c r="Q27" i="28" s="1"/>
  <c r="Z27" i="28" s="1"/>
  <c r="AA27" i="28" s="1"/>
  <c r="AJ126" i="17" s="1"/>
  <c r="BC83" i="17"/>
  <c r="N86" i="19"/>
  <c r="BG8" i="17"/>
  <c r="BG10" i="17" s="1"/>
  <c r="AL144" i="17"/>
  <c r="AL8" i="17"/>
  <c r="AL10" i="17" s="1"/>
  <c r="AL80" i="17"/>
  <c r="AL40" i="17"/>
  <c r="W108" i="17"/>
  <c r="W125" i="17"/>
  <c r="AX108" i="17"/>
  <c r="AX125" i="17"/>
  <c r="S45" i="28"/>
  <c r="H45" i="28"/>
  <c r="Q45" i="28" s="1"/>
  <c r="R147" i="17"/>
  <c r="R145" i="17"/>
  <c r="R144" i="17"/>
  <c r="R58" i="17"/>
  <c r="R40" i="17"/>
  <c r="AB56" i="17"/>
  <c r="AB145" i="17"/>
  <c r="AB40" i="17"/>
  <c r="AB8" i="17"/>
  <c r="AB10" i="17" s="1"/>
  <c r="AB80" i="17"/>
  <c r="F11" i="17"/>
  <c r="BL11" i="17" s="1"/>
  <c r="F5" i="17"/>
  <c r="BL5" i="17" s="1"/>
  <c r="F6" i="17"/>
  <c r="BL6" i="17" s="1"/>
  <c r="F118" i="17"/>
  <c r="BL118" i="17" s="1"/>
  <c r="BH83" i="17"/>
  <c r="BH86" i="17"/>
  <c r="U51" i="28"/>
  <c r="H51" i="28"/>
  <c r="Q51" i="28" s="1"/>
  <c r="BH82" i="17"/>
  <c r="H46" i="28"/>
  <c r="Q46" i="28" s="1"/>
  <c r="Z46" i="28" s="1"/>
  <c r="AA46" i="28" s="1"/>
  <c r="BC126" i="17" s="1"/>
  <c r="H40" i="28"/>
  <c r="Q40" i="28" s="1"/>
  <c r="Z40" i="28" s="1"/>
  <c r="AA40" i="28" s="1"/>
  <c r="AW126" i="17" s="1"/>
  <c r="H48" i="28"/>
  <c r="Q48" i="28" s="1"/>
  <c r="Z48" i="28" s="1"/>
  <c r="AA48" i="28" s="1"/>
  <c r="BE126" i="17" s="1"/>
  <c r="BG145" i="17"/>
  <c r="AD8" i="17"/>
  <c r="AD10" i="17" s="1"/>
  <c r="H38" i="28"/>
  <c r="Q38" i="28" s="1"/>
  <c r="Z38" i="28" s="1"/>
  <c r="AA38" i="28" s="1"/>
  <c r="AU126" i="17" s="1"/>
  <c r="AD147" i="17"/>
  <c r="H14" i="28"/>
  <c r="Q14" i="28" s="1"/>
  <c r="Z14" i="28" s="1"/>
  <c r="AA14" i="28" s="1"/>
  <c r="W126" i="17" s="1"/>
  <c r="AD62" i="17"/>
  <c r="U79" i="17"/>
  <c r="U125" i="17"/>
  <c r="H11" i="28"/>
  <c r="Q11" i="28" s="1"/>
  <c r="Z11" i="28" s="1"/>
  <c r="AA11" i="28" s="1"/>
  <c r="T126" i="17" s="1"/>
  <c r="H31" i="28"/>
  <c r="Q31" i="28" s="1"/>
  <c r="Z31" i="28" s="1"/>
  <c r="AA31" i="28" s="1"/>
  <c r="AN126" i="17" s="1"/>
  <c r="BG63" i="17"/>
  <c r="AD144" i="17"/>
  <c r="AL56" i="17"/>
  <c r="AL113" i="17"/>
  <c r="G35" i="28"/>
  <c r="BE108" i="17"/>
  <c r="AR56" i="17"/>
  <c r="AS82" i="17"/>
  <c r="BC86" i="17"/>
  <c r="AR145" i="17"/>
  <c r="BA147" i="17"/>
  <c r="BA113" i="17"/>
  <c r="BA64" i="17"/>
  <c r="BA144" i="17"/>
  <c r="Q125" i="17"/>
  <c r="Q108" i="17"/>
  <c r="AH147" i="17"/>
  <c r="AH145" i="17"/>
  <c r="AH146" i="17"/>
  <c r="AH61" i="17"/>
  <c r="AG108" i="17"/>
  <c r="AG125" i="17"/>
  <c r="F46" i="17"/>
  <c r="BL46" i="17" s="1"/>
  <c r="F48" i="17"/>
  <c r="BL48" i="17" s="1"/>
  <c r="F51" i="17"/>
  <c r="BL51" i="17" s="1"/>
  <c r="F87" i="17"/>
  <c r="BL87" i="17" s="1"/>
  <c r="F90" i="17"/>
  <c r="BL90" i="17" s="1"/>
  <c r="F97" i="17"/>
  <c r="BL97" i="17" s="1"/>
  <c r="F100" i="17"/>
  <c r="BL100" i="17" s="1"/>
  <c r="F102" i="17"/>
  <c r="BL102" i="17" s="1"/>
  <c r="F138" i="17"/>
  <c r="BL138" i="17" s="1"/>
  <c r="F140" i="17"/>
  <c r="BL140" i="17" s="1"/>
  <c r="AI82" i="17"/>
  <c r="AI83" i="17"/>
  <c r="AI85" i="17"/>
  <c r="AK147" i="17"/>
  <c r="AK40" i="17"/>
  <c r="G29" i="28"/>
  <c r="AL125" i="17"/>
  <c r="H33" i="28"/>
  <c r="Q33" i="28" s="1"/>
  <c r="Z33" i="28" s="1"/>
  <c r="AA33" i="28" s="1"/>
  <c r="AP126" i="17" s="1"/>
  <c r="Z83" i="17"/>
  <c r="Z85" i="17"/>
  <c r="Z82" i="17"/>
  <c r="AD54" i="17"/>
  <c r="AD53" i="17"/>
  <c r="AY146" i="17"/>
  <c r="AY145" i="17"/>
  <c r="AC8" i="17"/>
  <c r="AC10" i="17" s="1"/>
  <c r="AC147" i="17"/>
  <c r="AC113" i="17"/>
  <c r="BC125" i="17"/>
  <c r="G46" i="28"/>
  <c r="R7" i="28"/>
  <c r="H7" i="28"/>
  <c r="Q7" i="28" s="1"/>
  <c r="AM108" i="17"/>
  <c r="G30" i="28"/>
  <c r="AZ125" i="17"/>
  <c r="AZ108" i="17"/>
  <c r="AE144" i="17"/>
  <c r="AE80" i="17"/>
  <c r="AE147" i="17"/>
  <c r="AE125" i="17"/>
  <c r="AE108" i="17"/>
  <c r="R35" i="28"/>
  <c r="H35" i="28"/>
  <c r="Q35" i="28" s="1"/>
  <c r="AI113" i="17"/>
  <c r="AI145" i="17"/>
  <c r="AI146" i="17"/>
  <c r="W83" i="17"/>
  <c r="W82" i="17"/>
  <c r="AA53" i="17"/>
  <c r="AA54" i="17"/>
  <c r="F44" i="17"/>
  <c r="BL44" i="17" s="1"/>
  <c r="AU144" i="17"/>
  <c r="AF54" i="17"/>
  <c r="BG54" i="17"/>
  <c r="M125" i="17"/>
  <c r="F133" i="17"/>
  <c r="BL133" i="17" s="1"/>
  <c r="F135" i="17"/>
  <c r="BL135" i="17" s="1"/>
  <c r="F134" i="17"/>
  <c r="F19" i="17"/>
  <c r="BL19" i="17" s="1"/>
  <c r="F20" i="17"/>
  <c r="BL20" i="17" s="1"/>
  <c r="F22" i="17"/>
  <c r="F21" i="17"/>
  <c r="AN116" i="17"/>
  <c r="DD35" i="27"/>
  <c r="DG35" i="27"/>
  <c r="DB35" i="27"/>
  <c r="CZ35" i="27"/>
  <c r="DG31" i="27"/>
  <c r="DE43" i="27"/>
  <c r="CR11" i="27"/>
  <c r="CS11" i="27"/>
  <c r="DK35" i="27"/>
  <c r="CZ19" i="27"/>
  <c r="CJ47" i="27"/>
  <c r="EL29" i="27"/>
  <c r="EP29" i="27" s="1"/>
  <c r="ER29" i="27"/>
  <c r="CA38" i="27"/>
  <c r="CS38" i="27" s="1"/>
  <c r="BZ38" i="27"/>
  <c r="CR38" i="27" s="1"/>
  <c r="BP38" i="27"/>
  <c r="BR38" i="27"/>
  <c r="CJ38" i="27" s="1"/>
  <c r="CE38" i="27"/>
  <c r="CW38" i="27" s="1"/>
  <c r="BG94" i="27"/>
  <c r="S123" i="19"/>
  <c r="CB38" i="27"/>
  <c r="CT38" i="27" s="1"/>
  <c r="CC38" i="27"/>
  <c r="CU38" i="27" s="1"/>
  <c r="BV38" i="27"/>
  <c r="CN38" i="27" s="1"/>
  <c r="BQ38" i="27"/>
  <c r="CI38" i="27" s="1"/>
  <c r="V123" i="19"/>
  <c r="Y123" i="19" s="1"/>
  <c r="BO38" i="27"/>
  <c r="BS38" i="27"/>
  <c r="CK38" i="27" s="1"/>
  <c r="BW38" i="27"/>
  <c r="CO38" i="27" s="1"/>
  <c r="BT38" i="27"/>
  <c r="CL38" i="27" s="1"/>
  <c r="DO38" i="27"/>
  <c r="BY38" i="27"/>
  <c r="CQ38" i="27" s="1"/>
  <c r="BN38" i="27"/>
  <c r="W83" i="19"/>
  <c r="Z83" i="19" s="1"/>
  <c r="BR4" i="27"/>
  <c r="T83" i="19"/>
  <c r="BO4" i="27"/>
  <c r="CE4" i="27"/>
  <c r="CW4" i="27" s="1"/>
  <c r="EB4" i="27"/>
  <c r="BT4" i="27"/>
  <c r="V87" i="19"/>
  <c r="Y87" i="19" s="1"/>
  <c r="BY7" i="27"/>
  <c r="BO7" i="27"/>
  <c r="CD7" i="27"/>
  <c r="CV7" i="27" s="1"/>
  <c r="CB7" i="27"/>
  <c r="BW7" i="27"/>
  <c r="BV7" i="27"/>
  <c r="BS7" i="27"/>
  <c r="BT7" i="27"/>
  <c r="BZ7" i="27"/>
  <c r="CR7" i="27" s="1"/>
  <c r="BN7" i="27"/>
  <c r="CF7" i="27"/>
  <c r="BP7" i="27"/>
  <c r="EA7" i="27"/>
  <c r="BR7" i="27"/>
  <c r="BQ7" i="27"/>
  <c r="EA5" i="27"/>
  <c r="BG54" i="27"/>
  <c r="BS5" i="27"/>
  <c r="BN5" i="27"/>
  <c r="CE5" i="27"/>
  <c r="CW5" i="27" s="1"/>
  <c r="BZ5" i="27"/>
  <c r="CR5" i="27" s="1"/>
  <c r="BY5" i="27"/>
  <c r="CQ5" i="27" s="1"/>
  <c r="V84" i="19"/>
  <c r="Y84" i="19" s="1"/>
  <c r="BR5" i="27"/>
  <c r="CB5" i="27"/>
  <c r="CT5" i="27" s="1"/>
  <c r="BP5" i="27"/>
  <c r="BX5" i="27"/>
  <c r="S84" i="19"/>
  <c r="BV5" i="27"/>
  <c r="BU5" i="27"/>
  <c r="DO5" i="27"/>
  <c r="BO5" i="27"/>
  <c r="CC5" i="27"/>
  <c r="CU5" i="27" s="1"/>
  <c r="BK54" i="27"/>
  <c r="EE5" i="27"/>
  <c r="EJ5" i="27" s="1"/>
  <c r="DO26" i="27"/>
  <c r="CF26" i="27"/>
  <c r="CX26" i="27" s="1"/>
  <c r="BX26" i="27"/>
  <c r="CP26" i="27" s="1"/>
  <c r="BY26" i="27"/>
  <c r="CQ26" i="27" s="1"/>
  <c r="BN26" i="27"/>
  <c r="BV26" i="27"/>
  <c r="CN26" i="27" s="1"/>
  <c r="BP26" i="27"/>
  <c r="EA26" i="27"/>
  <c r="S107" i="19"/>
  <c r="BR26" i="27"/>
  <c r="CJ26" i="27" s="1"/>
  <c r="BQ26" i="27"/>
  <c r="CI26" i="27" s="1"/>
  <c r="CB26" i="27"/>
  <c r="CT26" i="27" s="1"/>
  <c r="BU26" i="27"/>
  <c r="CM26" i="27" s="1"/>
  <c r="V107" i="19"/>
  <c r="Y107" i="19" s="1"/>
  <c r="BG78" i="27"/>
  <c r="CA26" i="27"/>
  <c r="CS26" i="27" s="1"/>
  <c r="BT26" i="27"/>
  <c r="CL26" i="27" s="1"/>
  <c r="BZ26" i="27"/>
  <c r="CR26" i="27" s="1"/>
  <c r="BS26" i="27"/>
  <c r="CK26" i="27" s="1"/>
  <c r="CC26" i="27"/>
  <c r="CU26" i="27" s="1"/>
  <c r="BW15" i="27"/>
  <c r="CO15" i="27" s="1"/>
  <c r="BO15" i="27"/>
  <c r="CC15" i="27"/>
  <c r="CU15" i="27" s="1"/>
  <c r="BP15" i="27"/>
  <c r="BH66" i="27"/>
  <c r="T96" i="19"/>
  <c r="BY15" i="27"/>
  <c r="CQ15" i="27" s="1"/>
  <c r="BQ15" i="27"/>
  <c r="CE15" i="27"/>
  <c r="CW15" i="27" s="1"/>
  <c r="W96" i="19"/>
  <c r="Z96" i="19" s="1"/>
  <c r="BZ15" i="27"/>
  <c r="CR15" i="27" s="1"/>
  <c r="BR15" i="27"/>
  <c r="BX15" i="27"/>
  <c r="CP15" i="27" s="1"/>
  <c r="BN15" i="27"/>
  <c r="CA15" i="27"/>
  <c r="CS15" i="27" s="1"/>
  <c r="BU15" i="27"/>
  <c r="CM15" i="27" s="1"/>
  <c r="CB15" i="27"/>
  <c r="CT15" i="27" s="1"/>
  <c r="Y58" i="17"/>
  <c r="Y64" i="17"/>
  <c r="Y80" i="17"/>
  <c r="Y146" i="17"/>
  <c r="Y113" i="17"/>
  <c r="Y8" i="17"/>
  <c r="Y10" i="17" s="1"/>
  <c r="T37" i="28"/>
  <c r="H37" i="28"/>
  <c r="Q37" i="28" s="1"/>
  <c r="S49" i="28"/>
  <c r="U22" i="28"/>
  <c r="H22" i="28"/>
  <c r="Q22" i="28" s="1"/>
  <c r="EC8" i="27"/>
  <c r="X88" i="19"/>
  <c r="AA88" i="19" s="1"/>
  <c r="BU8" i="27"/>
  <c r="CM8" i="27" s="1"/>
  <c r="BT8" i="27"/>
  <c r="CL8" i="27" s="1"/>
  <c r="BI58" i="27"/>
  <c r="CF8" i="27"/>
  <c r="CX8" i="27" s="1"/>
  <c r="U88" i="19"/>
  <c r="CD8" i="27"/>
  <c r="CV8" i="27" s="1"/>
  <c r="BN8" i="27"/>
  <c r="Z146" i="17"/>
  <c r="Z8" i="17"/>
  <c r="Z10" i="17" s="1"/>
  <c r="Z56" i="17"/>
  <c r="Z147" i="17"/>
  <c r="Z145" i="17"/>
  <c r="Z144" i="17"/>
  <c r="Z80" i="17"/>
  <c r="Z113" i="17"/>
  <c r="Z40" i="17"/>
  <c r="Z62" i="17"/>
  <c r="BN82" i="27"/>
  <c r="BP82" i="27" s="1"/>
  <c r="BQ82" i="27"/>
  <c r="T17" i="28"/>
  <c r="H17" i="28"/>
  <c r="Q17" i="28" s="1"/>
  <c r="AH117" i="17"/>
  <c r="DD48" i="27"/>
  <c r="DG27" i="27"/>
  <c r="CK9" i="27"/>
  <c r="EP21" i="27"/>
  <c r="ER31" i="27"/>
  <c r="ER18" i="27"/>
  <c r="ER28" i="27"/>
  <c r="BO83" i="27"/>
  <c r="BP83" i="27" s="1"/>
  <c r="CR25" i="27"/>
  <c r="CS25" i="27"/>
  <c r="CO16" i="27"/>
  <c r="CM18" i="27"/>
  <c r="CK18" i="27"/>
  <c r="EO30" i="27"/>
  <c r="ER30" i="27"/>
  <c r="CJ21" i="27"/>
  <c r="CL23" i="27"/>
  <c r="CM23" i="27"/>
  <c r="CN23" i="27"/>
  <c r="CO23" i="27"/>
  <c r="BO75" i="27"/>
  <c r="AW111" i="17"/>
  <c r="AW110" i="17"/>
  <c r="CP40" i="27"/>
  <c r="CO40" i="27"/>
  <c r="CQ40" i="27"/>
  <c r="AO110" i="17"/>
  <c r="AO111" i="17"/>
  <c r="BO99" i="27"/>
  <c r="BK72" i="27"/>
  <c r="CE20" i="27"/>
  <c r="CW20" i="27" s="1"/>
  <c r="BS20" i="27"/>
  <c r="R41" i="28"/>
  <c r="CN11" i="27"/>
  <c r="BO79" i="27"/>
  <c r="BP79" i="27" s="1"/>
  <c r="CO18" i="27"/>
  <c r="CP18" i="27"/>
  <c r="CQ11" i="27"/>
  <c r="EM30" i="27"/>
  <c r="EP30" i="27"/>
  <c r="EP9" i="27"/>
  <c r="AO145" i="17"/>
  <c r="AO40" i="17"/>
  <c r="AO147" i="17"/>
  <c r="AO8" i="17"/>
  <c r="AO10" i="17" s="1"/>
  <c r="DM18" i="27"/>
  <c r="DN18" i="27" s="1"/>
  <c r="BB84" i="17"/>
  <c r="BB147" i="17"/>
  <c r="BB40" i="17"/>
  <c r="BB145" i="17"/>
  <c r="BB69" i="17"/>
  <c r="CD32" i="27"/>
  <c r="CV32" i="27" s="1"/>
  <c r="CE32" i="27"/>
  <c r="CW32" i="27" s="1"/>
  <c r="BU32" i="27"/>
  <c r="V111" i="19"/>
  <c r="Y111" i="19" s="1"/>
  <c r="CE30" i="27"/>
  <c r="CW30" i="27" s="1"/>
  <c r="BZ30" i="27"/>
  <c r="CR30" i="27" s="1"/>
  <c r="BJ104" i="27"/>
  <c r="ED42" i="27"/>
  <c r="EK42" i="27" s="1"/>
  <c r="W119" i="19"/>
  <c r="Z119" i="19" s="1"/>
  <c r="BH90" i="27"/>
  <c r="BP98" i="27"/>
  <c r="AY8" i="17"/>
  <c r="AA113" i="17"/>
  <c r="AW119" i="17"/>
  <c r="F119" i="17" s="1"/>
  <c r="BL119" i="17" s="1"/>
  <c r="AW147" i="17"/>
  <c r="AW145" i="17"/>
  <c r="BJ62" i="27"/>
  <c r="ED12" i="27"/>
  <c r="EK12" i="27" s="1"/>
  <c r="G10" i="28"/>
  <c r="S125" i="17"/>
  <c r="R16" i="28"/>
  <c r="H16" i="28"/>
  <c r="Q16" i="28" s="1"/>
  <c r="T91" i="19"/>
  <c r="EB11" i="27"/>
  <c r="EM11" i="27" s="1"/>
  <c r="BG79" i="17"/>
  <c r="BG58" i="17"/>
  <c r="S28" i="28"/>
  <c r="H28" i="28"/>
  <c r="Q28" i="28" s="1"/>
  <c r="BA40" i="17"/>
  <c r="BA8" i="17"/>
  <c r="BA10" i="17" s="1"/>
  <c r="U112" i="17"/>
  <c r="U40" i="17"/>
  <c r="U61" i="17"/>
  <c r="T36" i="28"/>
  <c r="H36" i="28"/>
  <c r="Q36" i="28" s="1"/>
  <c r="BL106" i="27"/>
  <c r="EF44" i="27"/>
  <c r="EI44" i="27" s="1"/>
  <c r="G38" i="28"/>
  <c r="F148" i="17"/>
  <c r="BL148" i="17" s="1"/>
  <c r="F23" i="17"/>
  <c r="BL23" i="17" s="1"/>
  <c r="F24" i="17"/>
  <c r="BL24" i="17" s="1"/>
  <c r="F26" i="17"/>
  <c r="BL26" i="17" s="1"/>
  <c r="F60" i="17"/>
  <c r="BL60" i="17" s="1"/>
  <c r="EF26" i="27"/>
  <c r="EI26" i="27" s="1"/>
  <c r="BL78" i="27"/>
  <c r="BQ115" i="27"/>
  <c r="BO97" i="27"/>
  <c r="BO57" i="27"/>
  <c r="BN57" i="27"/>
  <c r="AT108" i="17"/>
  <c r="BH56" i="27"/>
  <c r="BM76" i="27"/>
  <c r="AI117" i="17"/>
  <c r="BK109" i="27"/>
  <c r="BQ92" i="27"/>
  <c r="BN115" i="27"/>
  <c r="BP115" i="27" s="1"/>
  <c r="BN97" i="27"/>
  <c r="BP97" i="27" s="1"/>
  <c r="BO100" i="27"/>
  <c r="BQ88" i="27"/>
  <c r="BN111" i="27"/>
  <c r="BQ103" i="27"/>
  <c r="BN67" i="27"/>
  <c r="BP67" i="27" s="1"/>
  <c r="BQ67" i="27"/>
  <c r="BQ95" i="27"/>
  <c r="BN101" i="27"/>
  <c r="BP101" i="27" s="1"/>
  <c r="AY116" i="17"/>
  <c r="S88" i="19"/>
  <c r="G37" i="28"/>
  <c r="DZ23" i="27"/>
  <c r="AJ125" i="17"/>
  <c r="BG58" i="27"/>
  <c r="BN86" i="27"/>
  <c r="BP86" i="27" s="1"/>
  <c r="BN100" i="27"/>
  <c r="BN64" i="27"/>
  <c r="BN92" i="27"/>
  <c r="BP92" i="27" s="1"/>
  <c r="BQ114" i="27"/>
  <c r="BO111" i="27"/>
  <c r="BO64" i="27"/>
  <c r="BO101" i="27"/>
  <c r="BQ101" i="27"/>
  <c r="S44" i="30"/>
  <c r="S47" i="30"/>
  <c r="S49" i="30"/>
  <c r="S50" i="30"/>
  <c r="S52" i="30"/>
  <c r="S40" i="30"/>
  <c r="F136" i="17"/>
  <c r="F15" i="17"/>
  <c r="AK10" i="17" l="1"/>
  <c r="AA10" i="17"/>
  <c r="R10" i="17"/>
  <c r="X8" i="17"/>
  <c r="X10" i="17" s="1"/>
  <c r="X9" i="17"/>
  <c r="BD113" i="17"/>
  <c r="BD9" i="17"/>
  <c r="AX62" i="17"/>
  <c r="AX9" i="17"/>
  <c r="AN147" i="17"/>
  <c r="AN9" i="17"/>
  <c r="AF125" i="17"/>
  <c r="AF10" i="17"/>
  <c r="AZ62" i="17"/>
  <c r="AZ9" i="17"/>
  <c r="AS125" i="17"/>
  <c r="AS10" i="17"/>
  <c r="G15" i="28"/>
  <c r="N108" i="17"/>
  <c r="N10" i="17"/>
  <c r="AY108" i="17"/>
  <c r="AY10" i="17"/>
  <c r="AV80" i="17"/>
  <c r="AV9" i="17"/>
  <c r="BF146" i="17"/>
  <c r="BF9" i="17"/>
  <c r="O8" i="17"/>
  <c r="O9" i="17"/>
  <c r="CH12" i="27"/>
  <c r="CL11" i="27"/>
  <c r="BO85" i="27"/>
  <c r="BS50" i="27"/>
  <c r="AD111" i="17"/>
  <c r="CG21" i="27"/>
  <c r="AD110" i="17"/>
  <c r="S111" i="17"/>
  <c r="S110" i="17"/>
  <c r="CG10" i="27"/>
  <c r="CY10" i="27" s="1"/>
  <c r="BO105" i="27"/>
  <c r="U111" i="17"/>
  <c r="U110" i="17"/>
  <c r="CL22" i="27"/>
  <c r="BQ63" i="27"/>
  <c r="BP105" i="27"/>
  <c r="DG43" i="27"/>
  <c r="CZ31" i="27"/>
  <c r="ER17" i="27"/>
  <c r="DG19" i="27"/>
  <c r="CJ14" i="27"/>
  <c r="BO65" i="27"/>
  <c r="CJ32" i="27"/>
  <c r="CI32" i="27"/>
  <c r="EL39" i="27"/>
  <c r="EP39" i="27" s="1"/>
  <c r="ER39" i="27"/>
  <c r="CN40" i="27"/>
  <c r="AA111" i="17"/>
  <c r="AA110" i="17"/>
  <c r="CG18" i="27"/>
  <c r="CN18" i="27"/>
  <c r="AK111" i="17"/>
  <c r="CG28" i="27"/>
  <c r="AK110" i="17"/>
  <c r="EN14" i="27"/>
  <c r="EP14" i="27" s="1"/>
  <c r="ER14" i="27"/>
  <c r="CH22" i="27"/>
  <c r="CJ22" i="27"/>
  <c r="BP57" i="27"/>
  <c r="BS41" i="27"/>
  <c r="CC41" i="27"/>
  <c r="CU41" i="27" s="1"/>
  <c r="BV41" i="27"/>
  <c r="CN41" i="27" s="1"/>
  <c r="CK23" i="27"/>
  <c r="CI21" i="27"/>
  <c r="CN9" i="27"/>
  <c r="DA9" i="27" s="1"/>
  <c r="ER10" i="27"/>
  <c r="CG22" i="27"/>
  <c r="DD22" i="27" s="1"/>
  <c r="AE110" i="17"/>
  <c r="AE111" i="17"/>
  <c r="BQ74" i="27"/>
  <c r="BN74" i="27"/>
  <c r="BP74" i="27"/>
  <c r="DB43" i="27"/>
  <c r="BO84" i="27"/>
  <c r="BW8" i="27"/>
  <c r="CO8" i="27" s="1"/>
  <c r="DG22" i="27"/>
  <c r="BP89" i="27"/>
  <c r="ER19" i="27"/>
  <c r="CK22" i="27"/>
  <c r="EL23" i="27"/>
  <c r="EP23" i="27" s="1"/>
  <c r="X140" i="19"/>
  <c r="AA140" i="19" s="1"/>
  <c r="EC50" i="27"/>
  <c r="EL50" i="27" s="1"/>
  <c r="BP50" i="27"/>
  <c r="BQ50" i="27"/>
  <c r="CB50" i="27"/>
  <c r="CT50" i="27" s="1"/>
  <c r="BY50" i="27"/>
  <c r="CQ50" i="27" s="1"/>
  <c r="H50" i="28"/>
  <c r="Q50" i="28" s="1"/>
  <c r="Z50" i="28" s="1"/>
  <c r="AA50" i="28" s="1"/>
  <c r="BG126" i="17" s="1"/>
  <c r="DZ50" i="27"/>
  <c r="EO50" i="27" s="1"/>
  <c r="CC50" i="27"/>
  <c r="CU50" i="27" s="1"/>
  <c r="BN50" i="27"/>
  <c r="CG50" i="27" s="1"/>
  <c r="BF113" i="27"/>
  <c r="CE50" i="27"/>
  <c r="CW50" i="27" s="1"/>
  <c r="BX50" i="27"/>
  <c r="CP50" i="27" s="1"/>
  <c r="BR50" i="27"/>
  <c r="CJ50" i="27" s="1"/>
  <c r="CF50" i="27"/>
  <c r="CX50" i="27" s="1"/>
  <c r="BT50" i="27"/>
  <c r="BU50" i="27"/>
  <c r="CK50" i="27"/>
  <c r="ER50" i="27"/>
  <c r="BW50" i="27"/>
  <c r="CN50" i="27" s="1"/>
  <c r="CD50" i="27"/>
  <c r="CV50" i="27" s="1"/>
  <c r="CA50" i="27"/>
  <c r="CS50" i="27" s="1"/>
  <c r="BZ50" i="27"/>
  <c r="CR50" i="27" s="1"/>
  <c r="DP50" i="27"/>
  <c r="BH113" i="27"/>
  <c r="EB50" i="27"/>
  <c r="EM50" i="27" s="1"/>
  <c r="W140" i="19"/>
  <c r="Z140" i="19" s="1"/>
  <c r="T140" i="19"/>
  <c r="U140" i="19"/>
  <c r="BI113" i="27"/>
  <c r="BN113" i="27" s="1"/>
  <c r="AZ147" i="17"/>
  <c r="AS108" i="17"/>
  <c r="BF70" i="17"/>
  <c r="G36" i="28"/>
  <c r="BF8" i="17"/>
  <c r="N125" i="17"/>
  <c r="BF84" i="17"/>
  <c r="BF145" i="17"/>
  <c r="G5" i="28"/>
  <c r="AN113" i="17"/>
  <c r="H49" i="28"/>
  <c r="Q49" i="28" s="1"/>
  <c r="Z49" i="28" s="1"/>
  <c r="AA49" i="28" s="1"/>
  <c r="BF126" i="17" s="1"/>
  <c r="O80" i="17"/>
  <c r="BF144" i="17"/>
  <c r="AN146" i="17"/>
  <c r="BF58" i="17"/>
  <c r="O62" i="17"/>
  <c r="AZ56" i="17"/>
  <c r="BF147" i="17"/>
  <c r="BF40" i="17"/>
  <c r="O147" i="17"/>
  <c r="BF113" i="17"/>
  <c r="AY125" i="17"/>
  <c r="G42" i="28"/>
  <c r="X125" i="17"/>
  <c r="H41" i="28"/>
  <c r="Q41" i="28" s="1"/>
  <c r="Z41" i="28" s="1"/>
  <c r="AA41" i="28" s="1"/>
  <c r="AX126" i="17" s="1"/>
  <c r="X108" i="17"/>
  <c r="O40" i="17"/>
  <c r="O146" i="17"/>
  <c r="O113" i="17"/>
  <c r="O144" i="17"/>
  <c r="H26" i="28"/>
  <c r="Q26" i="28" s="1"/>
  <c r="Z26" i="28" s="1"/>
  <c r="AA26" i="28" s="1"/>
  <c r="AI126" i="17" s="1"/>
  <c r="O56" i="17"/>
  <c r="O145" i="17"/>
  <c r="AV58" i="17"/>
  <c r="AV146" i="17"/>
  <c r="BD144" i="17"/>
  <c r="EB6" i="27"/>
  <c r="EM6" i="27" s="1"/>
  <c r="DP6" i="27"/>
  <c r="CF6" i="27"/>
  <c r="CX6" i="27" s="1"/>
  <c r="BR6" i="27"/>
  <c r="BY6" i="27"/>
  <c r="BZ6" i="27"/>
  <c r="CE6" i="27"/>
  <c r="CW6" i="27" s="1"/>
  <c r="BT6" i="27"/>
  <c r="CD6" i="27"/>
  <c r="CV6" i="27" s="1"/>
  <c r="BN6" i="27"/>
  <c r="CC6" i="27"/>
  <c r="CU6" i="27" s="1"/>
  <c r="BU6" i="27"/>
  <c r="BW6" i="27"/>
  <c r="CA6" i="27"/>
  <c r="BV6" i="27"/>
  <c r="BX6" i="27"/>
  <c r="CP6" i="27" s="1"/>
  <c r="BQ6" i="27"/>
  <c r="BO6" i="27"/>
  <c r="CB6" i="27"/>
  <c r="BP6" i="27"/>
  <c r="T86" i="19"/>
  <c r="BS6" i="27"/>
  <c r="CK40" i="27"/>
  <c r="CL40" i="27"/>
  <c r="EL45" i="27"/>
  <c r="EP45" i="27"/>
  <c r="ER45" i="27"/>
  <c r="CI23" i="27"/>
  <c r="CY23" i="27" s="1"/>
  <c r="CJ23" i="27"/>
  <c r="BG112" i="27"/>
  <c r="S139" i="19"/>
  <c r="DO49" i="27"/>
  <c r="V139" i="19"/>
  <c r="Y139" i="19" s="1"/>
  <c r="EA49" i="27"/>
  <c r="W110" i="17"/>
  <c r="CG14" i="27"/>
  <c r="CZ14" i="27" s="1"/>
  <c r="W111" i="17"/>
  <c r="BW51" i="27"/>
  <c r="CO51" i="27" s="1"/>
  <c r="CB51" i="27"/>
  <c r="CT51" i="27" s="1"/>
  <c r="BZ51" i="27"/>
  <c r="CR51" i="27" s="1"/>
  <c r="CA51" i="27"/>
  <c r="CS51" i="27" s="1"/>
  <c r="CD51" i="27"/>
  <c r="CV51" i="27" s="1"/>
  <c r="BR51" i="27"/>
  <c r="CJ51" i="27" s="1"/>
  <c r="BX51" i="27"/>
  <c r="CP51" i="27" s="1"/>
  <c r="BQ51" i="27"/>
  <c r="CI51" i="27" s="1"/>
  <c r="BO51" i="27"/>
  <c r="CG51" i="27" s="1"/>
  <c r="CE51" i="27"/>
  <c r="CW51" i="27" s="1"/>
  <c r="BN51" i="27"/>
  <c r="BS51" i="27"/>
  <c r="CK51" i="27" s="1"/>
  <c r="BV51" i="27"/>
  <c r="CN51" i="27" s="1"/>
  <c r="DZ51" i="27"/>
  <c r="EO51" i="27" s="1"/>
  <c r="BY51" i="27"/>
  <c r="CQ51" i="27" s="1"/>
  <c r="CC51" i="27"/>
  <c r="CU51" i="27" s="1"/>
  <c r="BU51" i="27"/>
  <c r="CM51" i="27" s="1"/>
  <c r="CF51" i="27"/>
  <c r="CX51" i="27" s="1"/>
  <c r="BT51" i="27"/>
  <c r="CL51" i="27" s="1"/>
  <c r="BP51" i="27"/>
  <c r="CH51" i="27" s="1"/>
  <c r="BR34" i="27"/>
  <c r="BW34" i="27"/>
  <c r="CO34" i="27" s="1"/>
  <c r="CC34" i="27"/>
  <c r="CU34" i="27" s="1"/>
  <c r="BP34" i="27"/>
  <c r="BV34" i="27"/>
  <c r="CN34" i="27" s="1"/>
  <c r="CB34" i="27"/>
  <c r="CT34" i="27" s="1"/>
  <c r="CA34" i="27"/>
  <c r="CS34" i="27" s="1"/>
  <c r="CF34" i="27"/>
  <c r="CX34" i="27" s="1"/>
  <c r="CD34" i="27"/>
  <c r="CV34" i="27" s="1"/>
  <c r="BZ34" i="27"/>
  <c r="CR34" i="27" s="1"/>
  <c r="BY34" i="27"/>
  <c r="CQ34" i="27" s="1"/>
  <c r="BT34" i="27"/>
  <c r="BO34" i="27"/>
  <c r="BN34" i="27"/>
  <c r="BS34" i="27"/>
  <c r="BX34" i="27"/>
  <c r="CP34" i="27" s="1"/>
  <c r="DZ34" i="27"/>
  <c r="EO34" i="27" s="1"/>
  <c r="BU34" i="27"/>
  <c r="CM34" i="27" s="1"/>
  <c r="CE34" i="27"/>
  <c r="CW34" i="27" s="1"/>
  <c r="BF87" i="27"/>
  <c r="BQ34" i="27"/>
  <c r="EB34" i="27"/>
  <c r="EM34" i="27" s="1"/>
  <c r="BH87" i="27"/>
  <c r="T116" i="19"/>
  <c r="W116" i="19"/>
  <c r="Z116" i="19" s="1"/>
  <c r="DP34" i="27"/>
  <c r="O116" i="17"/>
  <c r="DM6" i="27"/>
  <c r="DN6" i="27" s="1"/>
  <c r="AD116" i="17"/>
  <c r="BP100" i="27"/>
  <c r="BU20" i="27"/>
  <c r="CB20" i="27"/>
  <c r="CT20" i="27" s="1"/>
  <c r="H34" i="28"/>
  <c r="Q34" i="28" s="1"/>
  <c r="Z34" i="28" s="1"/>
  <c r="AA34" i="28" s="1"/>
  <c r="AQ126" i="17" s="1"/>
  <c r="DE25" i="27"/>
  <c r="BZ8" i="27"/>
  <c r="CR8" i="27" s="1"/>
  <c r="BR8" i="27"/>
  <c r="CJ8" i="27" s="1"/>
  <c r="BX8" i="27"/>
  <c r="CP8" i="27" s="1"/>
  <c r="CE8" i="27"/>
  <c r="CW8" i="27" s="1"/>
  <c r="BY4" i="27"/>
  <c r="CC4" i="27"/>
  <c r="CU4" i="27" s="1"/>
  <c r="BW4" i="27"/>
  <c r="AZ144" i="17"/>
  <c r="BP20" i="27"/>
  <c r="BV20" i="27"/>
  <c r="CL12" i="27"/>
  <c r="DA12" i="27" s="1"/>
  <c r="CB8" i="27"/>
  <c r="CT8" i="27" s="1"/>
  <c r="BV8" i="27"/>
  <c r="CN8" i="27" s="1"/>
  <c r="CA8" i="27"/>
  <c r="CS8" i="27" s="1"/>
  <c r="BO8" i="27"/>
  <c r="CD4" i="27"/>
  <c r="CV4" i="27" s="1"/>
  <c r="BU4" i="27"/>
  <c r="CF4" i="27"/>
  <c r="CX4" i="27" s="1"/>
  <c r="BN4" i="27"/>
  <c r="M111" i="17" s="1"/>
  <c r="DB47" i="27"/>
  <c r="DD31" i="27"/>
  <c r="DE31" i="27"/>
  <c r="AZ113" i="17"/>
  <c r="AZ80" i="17"/>
  <c r="CP11" i="27"/>
  <c r="BW20" i="27"/>
  <c r="BZ20" i="27"/>
  <c r="CR20" i="27" s="1"/>
  <c r="DE19" i="27"/>
  <c r="BP8" i="27"/>
  <c r="CH8" i="27" s="1"/>
  <c r="BQ8" i="27"/>
  <c r="CI8" i="27" s="1"/>
  <c r="BT15" i="27"/>
  <c r="BS15" i="27"/>
  <c r="CD15" i="27"/>
  <c r="CV15" i="27" s="1"/>
  <c r="CF15" i="27"/>
  <c r="CX15" i="27" s="1"/>
  <c r="BP4" i="27"/>
  <c r="BQ4" i="27"/>
  <c r="BV4" i="27"/>
  <c r="CN4" i="27" s="1"/>
  <c r="DB31" i="27"/>
  <c r="H8" i="28"/>
  <c r="Q8" i="28" s="1"/>
  <c r="Z8" i="28" s="1"/>
  <c r="AA8" i="28" s="1"/>
  <c r="Q126" i="17" s="1"/>
  <c r="CE41" i="27"/>
  <c r="CW41" i="27" s="1"/>
  <c r="BP41" i="27"/>
  <c r="CA41" i="27"/>
  <c r="CS41" i="27" s="1"/>
  <c r="CB41" i="27"/>
  <c r="CT41" i="27" s="1"/>
  <c r="BQ41" i="27"/>
  <c r="CH41" i="27" s="1"/>
  <c r="BR41" i="27"/>
  <c r="BP84" i="27"/>
  <c r="BN61" i="27"/>
  <c r="BP61" i="27" s="1"/>
  <c r="ER47" i="27"/>
  <c r="BQ93" i="27"/>
  <c r="CS40" i="27"/>
  <c r="CR40" i="27"/>
  <c r="CH40" i="27"/>
  <c r="CI40" i="27"/>
  <c r="Z110" i="17"/>
  <c r="Z111" i="17"/>
  <c r="CG17" i="27"/>
  <c r="CZ28" i="27"/>
  <c r="DB28" i="27"/>
  <c r="DE28" i="27"/>
  <c r="EP17" i="27"/>
  <c r="EN12" i="27"/>
  <c r="EP12" i="27" s="1"/>
  <c r="ER12" i="27"/>
  <c r="CH36" i="27"/>
  <c r="CI46" i="27"/>
  <c r="CH46" i="27"/>
  <c r="CK21" i="27"/>
  <c r="AM111" i="17"/>
  <c r="AM110" i="17"/>
  <c r="EC34" i="27"/>
  <c r="X116" i="19"/>
  <c r="AA116" i="19" s="1"/>
  <c r="BI87" i="27"/>
  <c r="U116" i="19"/>
  <c r="Z116" i="17"/>
  <c r="CL14" i="27"/>
  <c r="CQ14" i="27"/>
  <c r="CK11" i="27"/>
  <c r="CJ40" i="27"/>
  <c r="CZ22" i="27"/>
  <c r="AZ40" i="17"/>
  <c r="AZ8" i="17"/>
  <c r="AZ10" i="17" s="1"/>
  <c r="BP114" i="27"/>
  <c r="DD43" i="27"/>
  <c r="EP16" i="27"/>
  <c r="F65" i="17"/>
  <c r="BL65" i="17" s="1"/>
  <c r="F57" i="17"/>
  <c r="BL57" i="17" s="1"/>
  <c r="BJ56" i="27"/>
  <c r="ED6" i="27"/>
  <c r="EK6" i="27" s="1"/>
  <c r="EP6" i="27" s="1"/>
  <c r="CU40" i="27"/>
  <c r="CV40" i="27"/>
  <c r="BQ99" i="27"/>
  <c r="BN99" i="27"/>
  <c r="BP99" i="27" s="1"/>
  <c r="EN11" i="27"/>
  <c r="EP11" i="27" s="1"/>
  <c r="ER11" i="27"/>
  <c r="CT40" i="27"/>
  <c r="CD49" i="27"/>
  <c r="CV49" i="27" s="1"/>
  <c r="BV49" i="27"/>
  <c r="CN49" i="27" s="1"/>
  <c r="BS49" i="27"/>
  <c r="CK49" i="27" s="1"/>
  <c r="BX49" i="27"/>
  <c r="CP49" i="27" s="1"/>
  <c r="BQ49" i="27"/>
  <c r="CI49" i="27" s="1"/>
  <c r="CC49" i="27"/>
  <c r="CU49" i="27" s="1"/>
  <c r="BR49" i="27"/>
  <c r="CJ49" i="27" s="1"/>
  <c r="BO49" i="27"/>
  <c r="BW49" i="27"/>
  <c r="CO49" i="27" s="1"/>
  <c r="BF112" i="27"/>
  <c r="BT49" i="27"/>
  <c r="CL49" i="27" s="1"/>
  <c r="BU49" i="27"/>
  <c r="CM49" i="27" s="1"/>
  <c r="CE49" i="27"/>
  <c r="CW49" i="27" s="1"/>
  <c r="BY49" i="27"/>
  <c r="CQ49" i="27" s="1"/>
  <c r="BZ49" i="27"/>
  <c r="CR49" i="27" s="1"/>
  <c r="BN49" i="27"/>
  <c r="CF49" i="27"/>
  <c r="CX49" i="27" s="1"/>
  <c r="CB49" i="27"/>
  <c r="CT49" i="27" s="1"/>
  <c r="BP49" i="27"/>
  <c r="CH49" i="27" s="1"/>
  <c r="DZ49" i="27"/>
  <c r="EO49" i="27" s="1"/>
  <c r="CA49" i="27"/>
  <c r="CS49" i="27" s="1"/>
  <c r="CD5" i="27"/>
  <c r="CV5" i="27" s="1"/>
  <c r="BW5" i="27"/>
  <c r="CA5" i="27"/>
  <c r="CS5" i="27" s="1"/>
  <c r="CF5" i="27"/>
  <c r="CX5" i="27" s="1"/>
  <c r="U116" i="17"/>
  <c r="CI50" i="27"/>
  <c r="EN51" i="27"/>
  <c r="EP51" i="27" s="1"/>
  <c r="BP85" i="27"/>
  <c r="BP65" i="27"/>
  <c r="CI14" i="27"/>
  <c r="CH30" i="27"/>
  <c r="DE30" i="27" s="1"/>
  <c r="DE22" i="27"/>
  <c r="BO42" i="27"/>
  <c r="BY42" i="27"/>
  <c r="CF42" i="27"/>
  <c r="CX42" i="27" s="1"/>
  <c r="BU42" i="27"/>
  <c r="CE42" i="27"/>
  <c r="CW42" i="27" s="1"/>
  <c r="BN42" i="27"/>
  <c r="BV42" i="27"/>
  <c r="BX42" i="27"/>
  <c r="BW42" i="27"/>
  <c r="BK104" i="27"/>
  <c r="BQ42" i="27"/>
  <c r="CI42" i="27" s="1"/>
  <c r="BP42" i="27"/>
  <c r="BS42" i="27"/>
  <c r="CA42" i="27"/>
  <c r="CS42" i="27" s="1"/>
  <c r="BT42" i="27"/>
  <c r="CB42" i="27"/>
  <c r="CT42" i="27" s="1"/>
  <c r="EE42" i="27"/>
  <c r="EJ42" i="27" s="1"/>
  <c r="BR42" i="27"/>
  <c r="CC42" i="27"/>
  <c r="CU42" i="27" s="1"/>
  <c r="CD42" i="27"/>
  <c r="CV42" i="27" s="1"/>
  <c r="BZ42" i="27"/>
  <c r="CR42" i="27" s="1"/>
  <c r="CH45" i="27"/>
  <c r="DP49" i="27"/>
  <c r="BH112" i="27"/>
  <c r="T139" i="19"/>
  <c r="EB49" i="27"/>
  <c r="EM49" i="27" s="1"/>
  <c r="W139" i="19"/>
  <c r="Z139" i="19" s="1"/>
  <c r="EB8" i="27"/>
  <c r="EM8" i="27" s="1"/>
  <c r="DP8" i="27"/>
  <c r="BH58" i="27"/>
  <c r="W88" i="19"/>
  <c r="Z88" i="19" s="1"/>
  <c r="T88" i="19"/>
  <c r="AT110" i="17"/>
  <c r="AT111" i="17"/>
  <c r="CG37" i="27"/>
  <c r="CO7" i="27"/>
  <c r="AZ146" i="17"/>
  <c r="W86" i="19"/>
  <c r="Z86" i="19" s="1"/>
  <c r="AZ145" i="17"/>
  <c r="CZ43" i="27"/>
  <c r="EP49" i="27"/>
  <c r="CH16" i="27"/>
  <c r="DG16" i="27" s="1"/>
  <c r="BO93" i="27"/>
  <c r="BP93" i="27" s="1"/>
  <c r="CM40" i="27"/>
  <c r="DM49" i="27"/>
  <c r="DN49" i="27" s="1"/>
  <c r="BF116" i="17"/>
  <c r="EA8" i="27"/>
  <c r="EN8" i="27" s="1"/>
  <c r="DO8" i="27"/>
  <c r="V88" i="19"/>
  <c r="Y88" i="19" s="1"/>
  <c r="DD19" i="27"/>
  <c r="CH21" i="27"/>
  <c r="DG21" i="27" s="1"/>
  <c r="CL24" i="27"/>
  <c r="CH24" i="27"/>
  <c r="CG24" i="27"/>
  <c r="BN75" i="27"/>
  <c r="BP75" i="27" s="1"/>
  <c r="EA34" i="27"/>
  <c r="EN34" i="27" s="1"/>
  <c r="BG87" i="27"/>
  <c r="S116" i="19"/>
  <c r="DO34" i="27"/>
  <c r="V116" i="19"/>
  <c r="Y116" i="19" s="1"/>
  <c r="BJ87" i="27"/>
  <c r="ED34" i="27"/>
  <c r="EK34" i="27" s="1"/>
  <c r="CG33" i="27"/>
  <c r="DE33" i="27" s="1"/>
  <c r="AP111" i="17"/>
  <c r="AP110" i="17"/>
  <c r="CK14" i="27"/>
  <c r="BO59" i="27"/>
  <c r="BN59" i="27"/>
  <c r="BP59" i="27" s="1"/>
  <c r="BQ59" i="27"/>
  <c r="X120" i="19"/>
  <c r="AA120" i="19" s="1"/>
  <c r="U120" i="19"/>
  <c r="EC36" i="27"/>
  <c r="BI91" i="27"/>
  <c r="BO91" i="27" s="1"/>
  <c r="BO36" i="27"/>
  <c r="BS36" i="27"/>
  <c r="CK36" i="27" s="1"/>
  <c r="BV36" i="27"/>
  <c r="CN36" i="27" s="1"/>
  <c r="CC36" i="27"/>
  <c r="CU36" i="27" s="1"/>
  <c r="BZ36" i="27"/>
  <c r="CR36" i="27" s="1"/>
  <c r="BT36" i="27"/>
  <c r="CL36" i="27" s="1"/>
  <c r="BU36" i="27"/>
  <c r="CM36" i="27" s="1"/>
  <c r="CE36" i="27"/>
  <c r="CW36" i="27" s="1"/>
  <c r="BN36" i="27"/>
  <c r="BW36" i="27"/>
  <c r="CO36" i="27" s="1"/>
  <c r="DM21" i="27"/>
  <c r="DN21" i="27" s="1"/>
  <c r="BQ91" i="27"/>
  <c r="F72" i="17"/>
  <c r="BL72" i="17" s="1"/>
  <c r="F66" i="17"/>
  <c r="BL66" i="17" s="1"/>
  <c r="AN8" i="17"/>
  <c r="AN10" i="17" s="1"/>
  <c r="H15" i="28"/>
  <c r="Q15" i="28" s="1"/>
  <c r="Z15" i="28" s="1"/>
  <c r="AA15" i="28" s="1"/>
  <c r="X126" i="17" s="1"/>
  <c r="AN80" i="17"/>
  <c r="F42" i="17"/>
  <c r="BL42" i="17" s="1"/>
  <c r="F59" i="17"/>
  <c r="BL59" i="17" s="1"/>
  <c r="AN144" i="17"/>
  <c r="AF108" i="17"/>
  <c r="F78" i="17"/>
  <c r="BL78" i="17" s="1"/>
  <c r="F68" i="17"/>
  <c r="BL68" i="17" s="1"/>
  <c r="F75" i="17"/>
  <c r="BL75" i="17" s="1"/>
  <c r="F71" i="17"/>
  <c r="BL71" i="17" s="1"/>
  <c r="F74" i="17"/>
  <c r="BL74" i="17" s="1"/>
  <c r="F76" i="17"/>
  <c r="BL76" i="17" s="1"/>
  <c r="F73" i="17"/>
  <c r="BL73" i="17" s="1"/>
  <c r="F67" i="17"/>
  <c r="BL67" i="17" s="1"/>
  <c r="F77" i="17"/>
  <c r="BL77" i="17" s="1"/>
  <c r="F39" i="17"/>
  <c r="BL39" i="17" s="1"/>
  <c r="F43" i="17"/>
  <c r="BL43" i="17" s="1"/>
  <c r="AV147" i="17"/>
  <c r="AV144" i="17"/>
  <c r="T112" i="17"/>
  <c r="F112" i="17" s="1"/>
  <c r="BL112" i="17" s="1"/>
  <c r="T58" i="17"/>
  <c r="T63" i="17"/>
  <c r="F63" i="17" s="1"/>
  <c r="BL63" i="17" s="1"/>
  <c r="AV64" i="17"/>
  <c r="AV40" i="17"/>
  <c r="AV8" i="17"/>
  <c r="AV10" i="17" s="1"/>
  <c r="AV113" i="17"/>
  <c r="AV145" i="17"/>
  <c r="AX145" i="17"/>
  <c r="AX56" i="17"/>
  <c r="T145" i="17"/>
  <c r="T8" i="17"/>
  <c r="T10" i="17" s="1"/>
  <c r="BD84" i="17"/>
  <c r="F93" i="17"/>
  <c r="BL93" i="17" s="1"/>
  <c r="AX80" i="17"/>
  <c r="H20" i="28"/>
  <c r="Q20" i="28" s="1"/>
  <c r="Z20" i="28" s="1"/>
  <c r="AA20" i="28" s="1"/>
  <c r="AC126" i="17" s="1"/>
  <c r="T144" i="17"/>
  <c r="H4" i="28"/>
  <c r="Q4" i="28" s="1"/>
  <c r="Z4" i="28" s="1"/>
  <c r="AA4" i="28" s="1"/>
  <c r="M126" i="17" s="1"/>
  <c r="BD146" i="17"/>
  <c r="BD40" i="17"/>
  <c r="T61" i="17"/>
  <c r="F61" i="17" s="1"/>
  <c r="BL61" i="17" s="1"/>
  <c r="BD8" i="17"/>
  <c r="BD10" i="17" s="1"/>
  <c r="BD145" i="17"/>
  <c r="T56" i="17"/>
  <c r="BD70" i="17"/>
  <c r="F70" i="17" s="1"/>
  <c r="BL70" i="17" s="1"/>
  <c r="T40" i="17"/>
  <c r="H18" i="28"/>
  <c r="Q18" i="28" s="1"/>
  <c r="Z18" i="28" s="1"/>
  <c r="AA18" i="28" s="1"/>
  <c r="AA126" i="17" s="1"/>
  <c r="H44" i="28"/>
  <c r="Q44" i="28" s="1"/>
  <c r="Z44" i="28" s="1"/>
  <c r="AA44" i="28" s="1"/>
  <c r="BA126" i="17" s="1"/>
  <c r="BD147" i="17"/>
  <c r="BD58" i="17"/>
  <c r="T79" i="17"/>
  <c r="F79" i="17" s="1"/>
  <c r="BL79" i="17" s="1"/>
  <c r="T146" i="17"/>
  <c r="T147" i="17"/>
  <c r="CI7" i="27"/>
  <c r="DA25" i="27"/>
  <c r="DF9" i="27"/>
  <c r="AN40" i="17"/>
  <c r="AN58" i="17"/>
  <c r="DZ8" i="27"/>
  <c r="EO8" i="27" s="1"/>
  <c r="BF58" i="27"/>
  <c r="BQ58" i="27" s="1"/>
  <c r="BS8" i="27"/>
  <c r="CK8" i="27" s="1"/>
  <c r="CC8" i="27"/>
  <c r="CU8" i="27" s="1"/>
  <c r="ED15" i="27"/>
  <c r="EK15" i="27" s="1"/>
  <c r="BJ66" i="27"/>
  <c r="BN66" i="27" s="1"/>
  <c r="EA44" i="27"/>
  <c r="V133" i="19"/>
  <c r="Y133" i="19" s="1"/>
  <c r="S133" i="19"/>
  <c r="DO44" i="27"/>
  <c r="BG106" i="27"/>
  <c r="BN44" i="27"/>
  <c r="BX44" i="27"/>
  <c r="BW44" i="27"/>
  <c r="BZ44" i="27"/>
  <c r="CA44" i="27"/>
  <c r="CB44" i="27"/>
  <c r="CE44" i="27"/>
  <c r="CC44" i="27"/>
  <c r="BS44" i="27"/>
  <c r="CD44" i="27"/>
  <c r="BQ44" i="27"/>
  <c r="BO44" i="27"/>
  <c r="BY44" i="27"/>
  <c r="CF44" i="27"/>
  <c r="CX44" i="27" s="1"/>
  <c r="BT44" i="27"/>
  <c r="BP44" i="27"/>
  <c r="BV44" i="27"/>
  <c r="BU44" i="27"/>
  <c r="BR44" i="27"/>
  <c r="BP103" i="27"/>
  <c r="EL33" i="27"/>
  <c r="EP33" i="27" s="1"/>
  <c r="ER33" i="27"/>
  <c r="DB14" i="27"/>
  <c r="BN63" i="27"/>
  <c r="BP63" i="27" s="1"/>
  <c r="BO113" i="27"/>
  <c r="AZ123" i="17"/>
  <c r="DK43" i="27"/>
  <c r="AZ116" i="17" s="1"/>
  <c r="DG39" i="27"/>
  <c r="DB39" i="27"/>
  <c r="DD39" i="27"/>
  <c r="DE39" i="27"/>
  <c r="CZ39" i="27"/>
  <c r="DG33" i="27"/>
  <c r="DB33" i="27"/>
  <c r="CZ33" i="27"/>
  <c r="DK25" i="27"/>
  <c r="DE14" i="27"/>
  <c r="BP88" i="27"/>
  <c r="EE44" i="27"/>
  <c r="EJ44" i="27" s="1"/>
  <c r="BK106" i="27"/>
  <c r="BP70" i="27"/>
  <c r="BP71" i="27"/>
  <c r="EP47" i="27"/>
  <c r="T117" i="17"/>
  <c r="DK11" i="27"/>
  <c r="DM11" i="27" s="1"/>
  <c r="DN11" i="27" s="1"/>
  <c r="DA24" i="27"/>
  <c r="DB27" i="27"/>
  <c r="CN20" i="27"/>
  <c r="CH4" i="27"/>
  <c r="ED44" i="27"/>
  <c r="EK44" i="27" s="1"/>
  <c r="BJ106" i="27"/>
  <c r="EB20" i="27"/>
  <c r="EM20" i="27" s="1"/>
  <c r="EP20" i="27" s="1"/>
  <c r="T101" i="19"/>
  <c r="BH72" i="27"/>
  <c r="BQ72" i="27" s="1"/>
  <c r="W101" i="19"/>
  <c r="Z101" i="19" s="1"/>
  <c r="DP20" i="27"/>
  <c r="CC20" i="27"/>
  <c r="CU20" i="27" s="1"/>
  <c r="BQ20" i="27"/>
  <c r="CA20" i="27"/>
  <c r="CS20" i="27" s="1"/>
  <c r="BN20" i="27"/>
  <c r="BX20" i="27"/>
  <c r="BY20" i="27"/>
  <c r="CP20" i="27" s="1"/>
  <c r="CD20" i="27"/>
  <c r="CV20" i="27" s="1"/>
  <c r="BR20" i="27"/>
  <c r="CJ20" i="27" s="1"/>
  <c r="BT20" i="27"/>
  <c r="BO20" i="27"/>
  <c r="CH20" i="27" s="1"/>
  <c r="DZ4" i="27"/>
  <c r="BF53" i="27"/>
  <c r="CA4" i="27"/>
  <c r="CS4" i="27" s="1"/>
  <c r="BZ4" i="27"/>
  <c r="CR4" i="27" s="1"/>
  <c r="BS4" i="27"/>
  <c r="CJ4" i="27" s="1"/>
  <c r="BX4" i="27"/>
  <c r="CP4" i="27" s="1"/>
  <c r="EL13" i="27"/>
  <c r="EP13" i="27"/>
  <c r="ER13" i="27"/>
  <c r="DE17" i="27"/>
  <c r="DB17" i="27"/>
  <c r="DG17" i="27"/>
  <c r="DD17" i="27"/>
  <c r="CZ17" i="27"/>
  <c r="BD123" i="17"/>
  <c r="DK47" i="27"/>
  <c r="DF10" i="27"/>
  <c r="DC10" i="27"/>
  <c r="DE10" i="27"/>
  <c r="DA10" i="27"/>
  <c r="DD27" i="27"/>
  <c r="DC9" i="27"/>
  <c r="CK7" i="27"/>
  <c r="CY11" i="27"/>
  <c r="CH5" i="27"/>
  <c r="CK5" i="27"/>
  <c r="DF11" i="27"/>
  <c r="AN145" i="17"/>
  <c r="G23" i="28"/>
  <c r="AN64" i="17"/>
  <c r="BI102" i="27"/>
  <c r="BN102" i="27" s="1"/>
  <c r="X130" i="19"/>
  <c r="AA130" i="19" s="1"/>
  <c r="W133" i="19"/>
  <c r="Z133" i="19" s="1"/>
  <c r="T133" i="19"/>
  <c r="DP44" i="27"/>
  <c r="BH106" i="27"/>
  <c r="EB44" i="27"/>
  <c r="EM44" i="27" s="1"/>
  <c r="DD29" i="27"/>
  <c r="DG29" i="27"/>
  <c r="DE29" i="27"/>
  <c r="DB29" i="27"/>
  <c r="CZ29" i="27"/>
  <c r="CY13" i="27"/>
  <c r="DF13" i="27"/>
  <c r="DE13" i="27"/>
  <c r="DA13" i="27"/>
  <c r="DC13" i="27"/>
  <c r="BP80" i="27"/>
  <c r="CZ27" i="27"/>
  <c r="BC116" i="17"/>
  <c r="DG14" i="27"/>
  <c r="BO102" i="27"/>
  <c r="ER41" i="27"/>
  <c r="EP41" i="27"/>
  <c r="AX113" i="17"/>
  <c r="AX144" i="17"/>
  <c r="AX40" i="17"/>
  <c r="CK41" i="27"/>
  <c r="AX58" i="17"/>
  <c r="CG41" i="27"/>
  <c r="DI41" i="27"/>
  <c r="AX110" i="17"/>
  <c r="AX111" i="17"/>
  <c r="CI41" i="27"/>
  <c r="AX8" i="17"/>
  <c r="AX10" i="17" s="1"/>
  <c r="AX147" i="17"/>
  <c r="AX64" i="17"/>
  <c r="AX146" i="17"/>
  <c r="EL15" i="27"/>
  <c r="EP15" i="27" s="1"/>
  <c r="CL15" i="27"/>
  <c r="CK15" i="27"/>
  <c r="Z21" i="28"/>
  <c r="AA21" i="28" s="1"/>
  <c r="AD126" i="17" s="1"/>
  <c r="Z24" i="28"/>
  <c r="AA24" i="28" s="1"/>
  <c r="AG126" i="17" s="1"/>
  <c r="Z28" i="28"/>
  <c r="AA28" i="28" s="1"/>
  <c r="AK126" i="17" s="1"/>
  <c r="F86" i="17"/>
  <c r="BL86" i="17" s="1"/>
  <c r="Z45" i="28"/>
  <c r="AA45" i="28" s="1"/>
  <c r="BB126" i="17" s="1"/>
  <c r="F69" i="17"/>
  <c r="BL69" i="17" s="1"/>
  <c r="X40" i="17"/>
  <c r="X113" i="17"/>
  <c r="X145" i="17"/>
  <c r="Z23" i="28"/>
  <c r="AA23" i="28" s="1"/>
  <c r="AF126" i="17" s="1"/>
  <c r="Z17" i="28"/>
  <c r="AA17" i="28" s="1"/>
  <c r="Z126" i="17" s="1"/>
  <c r="Z35" i="28"/>
  <c r="AA35" i="28" s="1"/>
  <c r="AR126" i="17" s="1"/>
  <c r="Z47" i="28"/>
  <c r="AA47" i="28" s="1"/>
  <c r="BD126" i="17" s="1"/>
  <c r="Z12" i="28"/>
  <c r="AA12" i="28" s="1"/>
  <c r="U126" i="17" s="1"/>
  <c r="F83" i="17"/>
  <c r="BL83" i="17" s="1"/>
  <c r="Z5" i="28"/>
  <c r="AA5" i="28" s="1"/>
  <c r="N126" i="17" s="1"/>
  <c r="Z30" i="28"/>
  <c r="AA30" i="28" s="1"/>
  <c r="AM126" i="17" s="1"/>
  <c r="X146" i="17"/>
  <c r="X58" i="17"/>
  <c r="Z32" i="28"/>
  <c r="AA32" i="28" s="1"/>
  <c r="AO126" i="17" s="1"/>
  <c r="X147" i="17"/>
  <c r="X80" i="17"/>
  <c r="X64" i="17"/>
  <c r="F53" i="17"/>
  <c r="BL53" i="17" s="1"/>
  <c r="Q53" i="19"/>
  <c r="Q79" i="19" s="1"/>
  <c r="Q81" i="19" s="1"/>
  <c r="F85" i="17"/>
  <c r="BL85" i="17" s="1"/>
  <c r="X144" i="17"/>
  <c r="Z13" i="28"/>
  <c r="AA13" i="28" s="1"/>
  <c r="V126" i="17" s="1"/>
  <c r="F82" i="17"/>
  <c r="BL82" i="17" s="1"/>
  <c r="Z36" i="28"/>
  <c r="AA36" i="28" s="1"/>
  <c r="AS126" i="17" s="1"/>
  <c r="F54" i="17"/>
  <c r="BL54" i="17" s="1"/>
  <c r="Z7" i="28"/>
  <c r="AA7" i="28" s="1"/>
  <c r="P126" i="17" s="1"/>
  <c r="Z51" i="28"/>
  <c r="AA51" i="28" s="1"/>
  <c r="BH126" i="17" s="1"/>
  <c r="EN26" i="27"/>
  <c r="EP26" i="27"/>
  <c r="ER26" i="27"/>
  <c r="N111" i="17"/>
  <c r="CG5" i="27"/>
  <c r="N110" i="17"/>
  <c r="CW7" i="27"/>
  <c r="EM4" i="27"/>
  <c r="EP4" i="27"/>
  <c r="BP111" i="27"/>
  <c r="F92" i="17"/>
  <c r="BL92" i="17" s="1"/>
  <c r="BN104" i="27"/>
  <c r="BO104" i="27"/>
  <c r="BQ104" i="27"/>
  <c r="CM32" i="27"/>
  <c r="CL32" i="27"/>
  <c r="CO20" i="27"/>
  <c r="DG40" i="27"/>
  <c r="DC23" i="27"/>
  <c r="DE18" i="27"/>
  <c r="DD18" i="27"/>
  <c r="DB18" i="27"/>
  <c r="CZ18" i="27"/>
  <c r="CJ15" i="27"/>
  <c r="BO78" i="27"/>
  <c r="BN78" i="27"/>
  <c r="BQ78" i="27"/>
  <c r="CH26" i="27"/>
  <c r="CM5" i="27"/>
  <c r="CL5" i="27"/>
  <c r="CJ7" i="27"/>
  <c r="DJ7" i="27"/>
  <c r="DI7" i="27"/>
  <c r="CG7" i="27"/>
  <c r="P111" i="17"/>
  <c r="P110" i="17"/>
  <c r="CN7" i="27"/>
  <c r="CL4" i="27"/>
  <c r="CK4" i="27"/>
  <c r="CU7" i="27"/>
  <c r="DG18" i="27"/>
  <c r="CY25" i="27"/>
  <c r="Q111" i="17"/>
  <c r="CG8" i="27"/>
  <c r="Q110" i="17"/>
  <c r="BP64" i="27"/>
  <c r="BQ76" i="27"/>
  <c r="BO76" i="27"/>
  <c r="BN76" i="27"/>
  <c r="F94" i="17"/>
  <c r="BL94" i="17" s="1"/>
  <c r="Z16" i="28"/>
  <c r="AA16" i="28" s="1"/>
  <c r="Y126" i="17" s="1"/>
  <c r="BO90" i="27"/>
  <c r="BQ90" i="27"/>
  <c r="BN90" i="27"/>
  <c r="DG30" i="27"/>
  <c r="DC11" i="27"/>
  <c r="DE11" i="27"/>
  <c r="DA11" i="27"/>
  <c r="CK20" i="27"/>
  <c r="DE21" i="27"/>
  <c r="CZ21" i="27"/>
  <c r="DE12" i="27"/>
  <c r="DE9" i="27"/>
  <c r="CY9" i="27"/>
  <c r="DC12" i="27"/>
  <c r="ER8" i="27"/>
  <c r="EL8" i="27"/>
  <c r="EP8" i="27" s="1"/>
  <c r="X110" i="17"/>
  <c r="CG15" i="27"/>
  <c r="X111" i="17"/>
  <c r="DI15" i="27"/>
  <c r="CI15" i="27"/>
  <c r="BQ66" i="27"/>
  <c r="CN5" i="27"/>
  <c r="BQ54" i="27"/>
  <c r="BN54" i="27"/>
  <c r="BO54" i="27"/>
  <c r="EN7" i="27"/>
  <c r="EP7" i="27"/>
  <c r="ER7" i="27"/>
  <c r="CQ7" i="27"/>
  <c r="CP7" i="27"/>
  <c r="AU111" i="17"/>
  <c r="AU110" i="17"/>
  <c r="CG38" i="27"/>
  <c r="CH38" i="27"/>
  <c r="CM7" i="27"/>
  <c r="DB21" i="27"/>
  <c r="DF25" i="27"/>
  <c r="BO109" i="27"/>
  <c r="BQ109" i="27"/>
  <c r="BN109" i="27"/>
  <c r="F91" i="17"/>
  <c r="BL91" i="17" s="1"/>
  <c r="BO106" i="27"/>
  <c r="BQ106" i="27"/>
  <c r="BN106" i="27"/>
  <c r="CO5" i="27"/>
  <c r="CP5" i="27"/>
  <c r="CI4" i="27"/>
  <c r="BN58" i="27"/>
  <c r="EO23" i="27"/>
  <c r="ER23" i="27"/>
  <c r="BO56" i="27"/>
  <c r="BN56" i="27"/>
  <c r="BQ56" i="27"/>
  <c r="BQ62" i="27"/>
  <c r="BO62" i="27"/>
  <c r="BN62" i="27"/>
  <c r="CL20" i="27"/>
  <c r="CM20" i="27"/>
  <c r="Z22" i="28"/>
  <c r="AA22" i="28" s="1"/>
  <c r="AE126" i="17" s="1"/>
  <c r="Z37" i="28"/>
  <c r="AA37" i="28" s="1"/>
  <c r="AT126" i="17" s="1"/>
  <c r="CH15" i="27"/>
  <c r="DJ15" i="27"/>
  <c r="AI111" i="17"/>
  <c r="CG26" i="27"/>
  <c r="AI110" i="17"/>
  <c r="CJ5" i="27"/>
  <c r="CI5" i="27"/>
  <c r="EN5" i="27"/>
  <c r="EP5" i="27"/>
  <c r="ER5" i="27"/>
  <c r="CH7" i="27"/>
  <c r="CL7" i="27"/>
  <c r="CT7" i="27"/>
  <c r="CS7" i="27"/>
  <c r="M110" i="17"/>
  <c r="BO94" i="27"/>
  <c r="BQ94" i="27"/>
  <c r="BN94" i="27"/>
  <c r="DE47" i="27"/>
  <c r="CZ47" i="27"/>
  <c r="DG47" i="27"/>
  <c r="DD47" i="27"/>
  <c r="AR116" i="17"/>
  <c r="DM35" i="27"/>
  <c r="DN35" i="27" s="1"/>
  <c r="DC25" i="27"/>
  <c r="DA23" i="27"/>
  <c r="F62" i="17" l="1"/>
  <c r="BL62" i="17" s="1"/>
  <c r="BF10" i="17"/>
  <c r="O10" i="17"/>
  <c r="CL42" i="27"/>
  <c r="CN42" i="27"/>
  <c r="CH6" i="27"/>
  <c r="CL6" i="27"/>
  <c r="CJ6" i="27"/>
  <c r="CW44" i="27"/>
  <c r="DF24" i="27"/>
  <c r="CT6" i="27"/>
  <c r="DD28" i="27"/>
  <c r="DG28" i="27"/>
  <c r="DE40" i="27"/>
  <c r="DB22" i="27"/>
  <c r="BQ113" i="27"/>
  <c r="CH50" i="27"/>
  <c r="CO50" i="27"/>
  <c r="CL50" i="27"/>
  <c r="F125" i="17"/>
  <c r="BL125" i="17" s="1"/>
  <c r="CM50" i="27"/>
  <c r="EP50" i="27"/>
  <c r="BG110" i="17"/>
  <c r="BG111" i="17"/>
  <c r="BP113" i="27"/>
  <c r="F84" i="17"/>
  <c r="BL84" i="17" s="1"/>
  <c r="F108" i="17"/>
  <c r="CY37" i="27"/>
  <c r="DA37" i="27"/>
  <c r="DC37" i="27"/>
  <c r="DE37" i="27"/>
  <c r="CM6" i="27"/>
  <c r="DF23" i="27"/>
  <c r="CM4" i="27"/>
  <c r="DD30" i="27"/>
  <c r="DE23" i="27"/>
  <c r="DJ41" i="27"/>
  <c r="AX123" i="17" s="1"/>
  <c r="CZ40" i="27"/>
  <c r="CG4" i="27"/>
  <c r="DB16" i="27"/>
  <c r="CO4" i="27"/>
  <c r="DD16" i="27"/>
  <c r="DF12" i="27"/>
  <c r="BO72" i="27"/>
  <c r="DB30" i="27"/>
  <c r="BP76" i="27"/>
  <c r="DD40" i="27"/>
  <c r="CJ41" i="27"/>
  <c r="DB41" i="27" s="1"/>
  <c r="CY24" i="27"/>
  <c r="DD33" i="27"/>
  <c r="DC24" i="27"/>
  <c r="CT44" i="27"/>
  <c r="AS111" i="17"/>
  <c r="AS110" i="17"/>
  <c r="CG36" i="27"/>
  <c r="BO112" i="27"/>
  <c r="CH42" i="27"/>
  <c r="CP42" i="27"/>
  <c r="CM42" i="27"/>
  <c r="BF110" i="17"/>
  <c r="BF111" i="17"/>
  <c r="CG49" i="27"/>
  <c r="CJ34" i="27"/>
  <c r="CK34" i="27"/>
  <c r="BH110" i="17"/>
  <c r="BH111" i="17"/>
  <c r="DD14" i="27"/>
  <c r="CI6" i="27"/>
  <c r="CO6" i="27"/>
  <c r="CQ6" i="27"/>
  <c r="CY12" i="27"/>
  <c r="CZ30" i="27"/>
  <c r="DB40" i="27"/>
  <c r="F56" i="17"/>
  <c r="BL56" i="17" s="1"/>
  <c r="EL36" i="27"/>
  <c r="EP36" i="27" s="1"/>
  <c r="ER36" i="27"/>
  <c r="DE45" i="27"/>
  <c r="DD45" i="27"/>
  <c r="DB45" i="27"/>
  <c r="DG45" i="27"/>
  <c r="CZ45" i="27"/>
  <c r="CG42" i="27"/>
  <c r="AY110" i="17"/>
  <c r="AY111" i="17"/>
  <c r="CQ42" i="27"/>
  <c r="BN91" i="27"/>
  <c r="BP91" i="27" s="1"/>
  <c r="ER51" i="27"/>
  <c r="BN112" i="27"/>
  <c r="BQ112" i="27"/>
  <c r="DE24" i="27"/>
  <c r="DD21" i="27"/>
  <c r="CI34" i="27"/>
  <c r="DJ34" i="27"/>
  <c r="DB51" i="27"/>
  <c r="DE51" i="27"/>
  <c r="DD51" i="27"/>
  <c r="CZ51" i="27"/>
  <c r="DG51" i="27"/>
  <c r="CN6" i="27"/>
  <c r="AQ111" i="17"/>
  <c r="CG34" i="27"/>
  <c r="AQ110" i="17"/>
  <c r="DI34" i="27"/>
  <c r="DE16" i="27"/>
  <c r="CI20" i="27"/>
  <c r="CL44" i="27"/>
  <c r="CO44" i="27"/>
  <c r="DD36" i="27"/>
  <c r="CJ42" i="27"/>
  <c r="CK42" i="27"/>
  <c r="CO42" i="27"/>
  <c r="DF37" i="27"/>
  <c r="ER34" i="27"/>
  <c r="EL34" i="27"/>
  <c r="EP34" i="27" s="1"/>
  <c r="DD46" i="27"/>
  <c r="CZ46" i="27"/>
  <c r="DE46" i="27"/>
  <c r="DB46" i="27"/>
  <c r="DG46" i="27"/>
  <c r="CZ16" i="27"/>
  <c r="BO87" i="27"/>
  <c r="BQ87" i="27"/>
  <c r="BN87" i="27"/>
  <c r="CL34" i="27"/>
  <c r="CH34" i="27"/>
  <c r="EN49" i="27"/>
  <c r="ER49" i="27"/>
  <c r="CK6" i="27"/>
  <c r="CS6" i="27"/>
  <c r="CG6" i="27"/>
  <c r="O110" i="17"/>
  <c r="O111" i="17"/>
  <c r="CR6" i="27"/>
  <c r="F80" i="17"/>
  <c r="BL80" i="17" s="1"/>
  <c r="F145" i="17"/>
  <c r="BL145" i="17" s="1"/>
  <c r="AH116" i="17"/>
  <c r="DJ44" i="27"/>
  <c r="CJ44" i="27"/>
  <c r="BO58" i="27"/>
  <c r="BP58" i="27" s="1"/>
  <c r="CQ20" i="27"/>
  <c r="BQ102" i="27"/>
  <c r="DM47" i="27"/>
  <c r="DN47" i="27" s="1"/>
  <c r="BD116" i="17"/>
  <c r="EO4" i="27"/>
  <c r="ER4" i="27"/>
  <c r="CH44" i="27"/>
  <c r="CU44" i="27"/>
  <c r="CR44" i="27"/>
  <c r="EN44" i="27"/>
  <c r="EP44" i="27" s="1"/>
  <c r="ER44" i="27"/>
  <c r="T116" i="17"/>
  <c r="BO66" i="27"/>
  <c r="BP66" i="27" s="1"/>
  <c r="DM25" i="27"/>
  <c r="DN25" i="27" s="1"/>
  <c r="CM44" i="27"/>
  <c r="CV44" i="27"/>
  <c r="CP44" i="27"/>
  <c r="BP102" i="27"/>
  <c r="CI44" i="27"/>
  <c r="BN72" i="27"/>
  <c r="BP94" i="27"/>
  <c r="BN53" i="27"/>
  <c r="BQ53" i="27"/>
  <c r="BO53" i="27"/>
  <c r="AC110" i="17"/>
  <c r="AC111" i="17"/>
  <c r="CG20" i="27"/>
  <c r="DB20" i="27" s="1"/>
  <c r="DM43" i="27"/>
  <c r="DN43" i="27" s="1"/>
  <c r="CN44" i="27"/>
  <c r="CQ44" i="27"/>
  <c r="CK44" i="27"/>
  <c r="CS44" i="27"/>
  <c r="CG44" i="27"/>
  <c r="DI44" i="27"/>
  <c r="BA111" i="17"/>
  <c r="BA110" i="17"/>
  <c r="CQ4" i="27"/>
  <c r="F113" i="17"/>
  <c r="BL113" i="17" s="1"/>
  <c r="F58" i="17"/>
  <c r="BL58" i="17" s="1"/>
  <c r="F144" i="17"/>
  <c r="BL144" i="17" s="1"/>
  <c r="F8" i="17"/>
  <c r="BL8" i="17" s="1"/>
  <c r="F64" i="17"/>
  <c r="BL64" i="17" s="1"/>
  <c r="F40" i="17"/>
  <c r="BL40" i="17" s="1"/>
  <c r="F147" i="17"/>
  <c r="BL147" i="17" s="1"/>
  <c r="DK41" i="27"/>
  <c r="AX117" i="17"/>
  <c r="CZ41" i="27"/>
  <c r="F146" i="17"/>
  <c r="BL146" i="17" s="1"/>
  <c r="F9" i="17"/>
  <c r="BL9" i="17" s="1"/>
  <c r="Q80" i="19"/>
  <c r="DE26" i="27"/>
  <c r="DG26" i="27"/>
  <c r="DB26" i="27"/>
  <c r="CZ26" i="27"/>
  <c r="DD26" i="27"/>
  <c r="BP106" i="27"/>
  <c r="BP109" i="27"/>
  <c r="BP54" i="27"/>
  <c r="BP90" i="27"/>
  <c r="DE8" i="27"/>
  <c r="DG8" i="27"/>
  <c r="DB8" i="27"/>
  <c r="CZ8" i="27"/>
  <c r="DD8" i="27"/>
  <c r="BP78" i="27"/>
  <c r="DG5" i="27"/>
  <c r="DD5" i="27"/>
  <c r="DE5" i="27"/>
  <c r="CZ5" i="27"/>
  <c r="DB5" i="27"/>
  <c r="DK15" i="27"/>
  <c r="X116" i="17" s="1"/>
  <c r="X117" i="17"/>
  <c r="BP62" i="27"/>
  <c r="BP56" i="27"/>
  <c r="DB15" i="27"/>
  <c r="DE15" i="27"/>
  <c r="DD15" i="27"/>
  <c r="CZ15" i="27"/>
  <c r="DG15" i="27"/>
  <c r="F126" i="17"/>
  <c r="BL126" i="17" s="1"/>
  <c r="DK7" i="27"/>
  <c r="P116" i="17" s="1"/>
  <c r="P117" i="17"/>
  <c r="CX7" i="27"/>
  <c r="CZ7" i="27" s="1"/>
  <c r="DE20" i="27"/>
  <c r="DD20" i="27"/>
  <c r="DE4" i="27"/>
  <c r="X123" i="17"/>
  <c r="CY38" i="27"/>
  <c r="DE38" i="27"/>
  <c r="DC38" i="27"/>
  <c r="DA38" i="27"/>
  <c r="DF38" i="27"/>
  <c r="P123" i="17"/>
  <c r="CZ32" i="27"/>
  <c r="DE32" i="27"/>
  <c r="DB32" i="27"/>
  <c r="DD32" i="27"/>
  <c r="DG32" i="27"/>
  <c r="BP104" i="27"/>
  <c r="DB34" i="27" l="1"/>
  <c r="DB4" i="27"/>
  <c r="DG20" i="27"/>
  <c r="BN116" i="27"/>
  <c r="DA50" i="27"/>
  <c r="DE50" i="27"/>
  <c r="CY50" i="27"/>
  <c r="DC50" i="27"/>
  <c r="DF50" i="27"/>
  <c r="CZ6" i="27"/>
  <c r="DD6" i="27"/>
  <c r="DB6" i="27"/>
  <c r="DE6" i="27"/>
  <c r="DG6" i="27"/>
  <c r="AQ117" i="17"/>
  <c r="DK34" i="27"/>
  <c r="DM34" i="27" s="1"/>
  <c r="DN34" i="27" s="1"/>
  <c r="DD4" i="27"/>
  <c r="CZ4" i="27"/>
  <c r="DD41" i="27"/>
  <c r="DG4" i="27"/>
  <c r="CZ20" i="27"/>
  <c r="BP72" i="27"/>
  <c r="DG41" i="27"/>
  <c r="BP87" i="27"/>
  <c r="BP112" i="27"/>
  <c r="DD42" i="27"/>
  <c r="DE41" i="27"/>
  <c r="BO116" i="27"/>
  <c r="BQ116" i="27"/>
  <c r="DE42" i="27"/>
  <c r="DG42" i="27"/>
  <c r="CZ42" i="27"/>
  <c r="DB42" i="27"/>
  <c r="CZ36" i="27"/>
  <c r="DG36" i="27"/>
  <c r="DB36" i="27"/>
  <c r="DE36" i="27"/>
  <c r="DG34" i="27"/>
  <c r="CZ34" i="27"/>
  <c r="DD34" i="27"/>
  <c r="DE34" i="27"/>
  <c r="AQ116" i="17"/>
  <c r="AQ123" i="17"/>
  <c r="DD49" i="27"/>
  <c r="DB49" i="27"/>
  <c r="DG49" i="27"/>
  <c r="DE49" i="27"/>
  <c r="CZ49" i="27"/>
  <c r="F10" i="17"/>
  <c r="BL10" i="17" s="1"/>
  <c r="F111" i="17"/>
  <c r="F110" i="17"/>
  <c r="BL110" i="17" s="1"/>
  <c r="DM7" i="27"/>
  <c r="DN7" i="27" s="1"/>
  <c r="DG44" i="27"/>
  <c r="DD44" i="27"/>
  <c r="CZ44" i="27"/>
  <c r="DB44" i="27"/>
  <c r="DE44" i="27"/>
  <c r="BA123" i="17"/>
  <c r="DE7" i="27"/>
  <c r="DK44" i="27"/>
  <c r="DM44" i="27" s="1"/>
  <c r="DN44" i="27" s="1"/>
  <c r="BA117" i="17"/>
  <c r="BP53" i="27"/>
  <c r="AX116" i="17"/>
  <c r="DM41" i="27"/>
  <c r="DN41" i="27" s="1"/>
  <c r="DM15" i="27"/>
  <c r="DN15" i="27" s="1"/>
  <c r="DB7" i="27"/>
  <c r="DD7" i="27"/>
  <c r="DG7" i="27"/>
  <c r="BP116" i="27"/>
  <c r="F123" i="17" l="1"/>
  <c r="BL123" i="17" s="1"/>
  <c r="F117" i="17"/>
  <c r="BL117" i="17" s="1"/>
  <c r="F121" i="17"/>
  <c r="BL121" i="17" s="1"/>
  <c r="BA116" i="17"/>
  <c r="F116" i="17" s="1"/>
  <c r="BL116" i="17" s="1"/>
  <c r="F120" i="17"/>
  <c r="BL120" i="17" s="1"/>
</calcChain>
</file>

<file path=xl/comments1.xml><?xml version="1.0" encoding="utf-8"?>
<comments xmlns="http://schemas.openxmlformats.org/spreadsheetml/2006/main">
  <authors>
    <author>Asa Akers</author>
  </authors>
  <commentList>
    <comment ref="E167" authorId="0" shapeId="0">
      <text>
        <r>
          <rPr>
            <b/>
            <sz val="11"/>
            <color indexed="81"/>
            <rFont val="Tahoma"/>
            <family val="2"/>
          </rPr>
          <t>Asa Akers:</t>
        </r>
        <r>
          <rPr>
            <sz val="11"/>
            <color indexed="81"/>
            <rFont val="Tahoma"/>
            <family val="2"/>
          </rPr>
          <t xml:space="preserve">
Provided by ??? and built to length at site by FDT</t>
        </r>
      </text>
    </comment>
  </commentList>
</comments>
</file>

<file path=xl/comments2.xml><?xml version="1.0" encoding="utf-8"?>
<comments xmlns="http://schemas.openxmlformats.org/spreadsheetml/2006/main">
  <authors>
    <author>Asa Akers</author>
    <author>Stephen Craft</author>
  </authors>
  <commentList>
    <comment ref="W2" authorId="0" shapeId="0">
      <text>
        <r>
          <rPr>
            <b/>
            <sz val="11"/>
            <color indexed="81"/>
            <rFont val="Tahoma"/>
            <family val="2"/>
          </rPr>
          <t>Asa Akers:</t>
        </r>
        <r>
          <rPr>
            <sz val="11"/>
            <color indexed="81"/>
            <rFont val="Tahoma"/>
            <family val="2"/>
          </rPr>
          <t xml:space="preserve">
Source is "Lightning protection and tower top layout_merged_20140815.ppt"
found in: N:\common\InternalReview\TIS\SITE DESIGN REVIEWS\Z-TIS site design review_FIU materials
Last saved 1/22/2015 10:22AM</t>
        </r>
      </text>
    </comment>
    <comment ref="AA3" authorId="0" shapeId="0">
      <text>
        <r>
          <rPr>
            <b/>
            <sz val="11"/>
            <color indexed="81"/>
            <rFont val="Tahoma"/>
            <family val="2"/>
          </rPr>
          <t>Asa Akers:</t>
        </r>
        <r>
          <rPr>
            <sz val="11"/>
            <color indexed="81"/>
            <rFont val="Tahoma"/>
            <family val="2"/>
          </rPr>
          <t xml:space="preserve">
prefix with "y-" if a CIMEL is to be deployed.
Always show desired corner, even if not to be deployed</t>
        </r>
      </text>
    </comment>
    <comment ref="AB3" authorId="0" shapeId="0">
      <text>
        <r>
          <rPr>
            <b/>
            <sz val="11"/>
            <color indexed="81"/>
            <rFont val="Tahoma"/>
            <family val="2"/>
          </rPr>
          <t>Asa Akers:</t>
        </r>
        <r>
          <rPr>
            <sz val="11"/>
            <color indexed="81"/>
            <rFont val="Tahoma"/>
            <family val="2"/>
          </rPr>
          <t xml:space="preserve">
prefix with a "y-" if sensor is to be deployed.
Prefix with a "m" if a sensor may be deployed based on a CRE yet to be approved.</t>
        </r>
      </text>
    </comment>
    <comment ref="X4" authorId="1" shapeId="0">
      <text>
        <r>
          <rPr>
            <b/>
            <sz val="9"/>
            <color indexed="81"/>
            <rFont val="Tahoma"/>
            <family val="2"/>
          </rPr>
          <t>Stephen Craft:</t>
        </r>
        <r>
          <rPr>
            <sz val="9"/>
            <color indexed="81"/>
            <rFont val="Tahoma"/>
            <family val="2"/>
          </rPr>
          <t xml:space="preserve">
Profile rad: BA</t>
        </r>
      </text>
    </comment>
    <comment ref="Y4" authorId="1" shapeId="0">
      <text>
        <r>
          <rPr>
            <b/>
            <sz val="9"/>
            <color indexed="81"/>
            <rFont val="Tahoma"/>
            <family val="2"/>
          </rPr>
          <t>Stephen Craft:</t>
        </r>
        <r>
          <rPr>
            <sz val="9"/>
            <color indexed="81"/>
            <rFont val="Tahoma"/>
            <family val="2"/>
          </rPr>
          <t xml:space="preserve">
Profile temp: AB</t>
        </r>
      </text>
    </comment>
    <comment ref="X5" authorId="1" shapeId="0">
      <text>
        <r>
          <rPr>
            <b/>
            <sz val="9"/>
            <color indexed="81"/>
            <rFont val="Tahoma"/>
            <family val="2"/>
          </rPr>
          <t>Stephen Craft:</t>
        </r>
        <r>
          <rPr>
            <sz val="9"/>
            <color indexed="81"/>
            <rFont val="Tahoma"/>
            <family val="2"/>
          </rPr>
          <t xml:space="preserve">
Profile rad: BA</t>
        </r>
      </text>
    </comment>
    <comment ref="Y5" authorId="1" shapeId="0">
      <text>
        <r>
          <rPr>
            <b/>
            <sz val="9"/>
            <color indexed="81"/>
            <rFont val="Tahoma"/>
            <family val="2"/>
          </rPr>
          <t>Stephen Craft:</t>
        </r>
        <r>
          <rPr>
            <sz val="9"/>
            <color indexed="81"/>
            <rFont val="Tahoma"/>
            <family val="2"/>
          </rPr>
          <t xml:space="preserve">
Profile temp: BA</t>
        </r>
      </text>
    </comment>
    <comment ref="X6" authorId="1" shapeId="0">
      <text>
        <r>
          <rPr>
            <b/>
            <sz val="9"/>
            <color indexed="81"/>
            <rFont val="Tahoma"/>
            <family val="2"/>
          </rPr>
          <t xml:space="preserve">Stephen Craft:
</t>
        </r>
        <r>
          <rPr>
            <sz val="9"/>
            <color indexed="81"/>
            <rFont val="Tahoma"/>
            <family val="2"/>
          </rPr>
          <t>Profile rad: BA</t>
        </r>
      </text>
    </comment>
    <comment ref="Y6" authorId="1" shapeId="0">
      <text>
        <r>
          <rPr>
            <b/>
            <sz val="9"/>
            <color indexed="81"/>
            <rFont val="Tahoma"/>
            <family val="2"/>
          </rPr>
          <t xml:space="preserve">Stephen Craft:
</t>
        </r>
        <r>
          <rPr>
            <sz val="9"/>
            <color indexed="81"/>
            <rFont val="Tahoma"/>
            <family val="2"/>
          </rPr>
          <t>Profile temp: AB</t>
        </r>
      </text>
    </comment>
    <comment ref="X7" authorId="1" shapeId="0">
      <text>
        <r>
          <rPr>
            <b/>
            <sz val="9"/>
            <color indexed="81"/>
            <rFont val="Tahoma"/>
            <family val="2"/>
          </rPr>
          <t xml:space="preserve">Stephen Craft:
</t>
        </r>
        <r>
          <rPr>
            <sz val="9"/>
            <color indexed="81"/>
            <rFont val="Tahoma"/>
            <family val="2"/>
          </rPr>
          <t>Profile rad: AB</t>
        </r>
      </text>
    </comment>
    <comment ref="Y7" authorId="1" shapeId="0">
      <text>
        <r>
          <rPr>
            <b/>
            <sz val="9"/>
            <color indexed="81"/>
            <rFont val="Tahoma"/>
            <family val="2"/>
          </rPr>
          <t xml:space="preserve">Stephen Craft:
</t>
        </r>
        <r>
          <rPr>
            <sz val="9"/>
            <color indexed="81"/>
            <rFont val="Tahoma"/>
            <family val="2"/>
          </rPr>
          <t>Profile temp: AB</t>
        </r>
      </text>
    </comment>
    <comment ref="X8" authorId="1" shapeId="0">
      <text>
        <r>
          <rPr>
            <b/>
            <sz val="9"/>
            <color indexed="81"/>
            <rFont val="Tahoma"/>
            <family val="2"/>
          </rPr>
          <t xml:space="preserve">Stephen Craft:
</t>
        </r>
        <r>
          <rPr>
            <sz val="9"/>
            <color indexed="81"/>
            <rFont val="Tahoma"/>
            <family val="2"/>
          </rPr>
          <t>Profile rad: BA</t>
        </r>
      </text>
    </comment>
    <comment ref="Y8" authorId="1" shapeId="0">
      <text>
        <r>
          <rPr>
            <b/>
            <sz val="9"/>
            <color indexed="81"/>
            <rFont val="Tahoma"/>
            <family val="2"/>
          </rPr>
          <t xml:space="preserve">Stephen Craft:
</t>
        </r>
        <r>
          <rPr>
            <sz val="9"/>
            <color indexed="81"/>
            <rFont val="Tahoma"/>
            <family val="2"/>
          </rPr>
          <t>Profile temp: BA</t>
        </r>
      </text>
    </comment>
    <comment ref="X9" authorId="1" shapeId="0">
      <text>
        <r>
          <rPr>
            <b/>
            <sz val="9"/>
            <color indexed="81"/>
            <rFont val="Tahoma"/>
            <family val="2"/>
          </rPr>
          <t xml:space="preserve">Stephen Craft:
</t>
        </r>
        <r>
          <rPr>
            <sz val="9"/>
            <color indexed="81"/>
            <rFont val="Tahoma"/>
            <family val="2"/>
          </rPr>
          <t>Profile rad: BA</t>
        </r>
      </text>
    </comment>
    <comment ref="Y9" authorId="1" shapeId="0">
      <text>
        <r>
          <rPr>
            <b/>
            <sz val="9"/>
            <color indexed="81"/>
            <rFont val="Tahoma"/>
            <family val="2"/>
          </rPr>
          <t xml:space="preserve">Stephen Craft:
</t>
        </r>
        <r>
          <rPr>
            <sz val="9"/>
            <color indexed="81"/>
            <rFont val="Tahoma"/>
            <family val="2"/>
          </rPr>
          <t>Profile temp: BA</t>
        </r>
      </text>
    </comment>
    <comment ref="X10" authorId="1" shapeId="0">
      <text>
        <r>
          <rPr>
            <b/>
            <sz val="9"/>
            <color indexed="81"/>
            <rFont val="Tahoma"/>
            <family val="2"/>
          </rPr>
          <t xml:space="preserve">Stephen Craft:
</t>
        </r>
        <r>
          <rPr>
            <sz val="9"/>
            <color indexed="81"/>
            <rFont val="Tahoma"/>
            <family val="2"/>
          </rPr>
          <t>Profile rad: BA</t>
        </r>
      </text>
    </comment>
    <comment ref="Y10" authorId="1" shapeId="0">
      <text>
        <r>
          <rPr>
            <b/>
            <sz val="9"/>
            <color indexed="81"/>
            <rFont val="Tahoma"/>
            <family val="2"/>
          </rPr>
          <t xml:space="preserve">Stephen Craft:
</t>
        </r>
        <r>
          <rPr>
            <sz val="9"/>
            <color indexed="81"/>
            <rFont val="Tahoma"/>
            <family val="2"/>
          </rPr>
          <t>Profile temp: AD</t>
        </r>
      </text>
    </comment>
    <comment ref="X11" authorId="1" shapeId="0">
      <text>
        <r>
          <rPr>
            <b/>
            <sz val="9"/>
            <color indexed="81"/>
            <rFont val="Tahoma"/>
            <family val="2"/>
          </rPr>
          <t xml:space="preserve">Stephen Craft:
</t>
        </r>
        <r>
          <rPr>
            <sz val="9"/>
            <color indexed="81"/>
            <rFont val="Tahoma"/>
            <family val="2"/>
          </rPr>
          <t>Profile rad: AB</t>
        </r>
      </text>
    </comment>
    <comment ref="Y11" authorId="1" shapeId="0">
      <text>
        <r>
          <rPr>
            <b/>
            <sz val="9"/>
            <color indexed="81"/>
            <rFont val="Tahoma"/>
            <family val="2"/>
          </rPr>
          <t xml:space="preserve">Stephen Craft:
</t>
        </r>
        <r>
          <rPr>
            <sz val="9"/>
            <color indexed="81"/>
            <rFont val="Tahoma"/>
            <family val="2"/>
          </rPr>
          <t>Profile temp: BA</t>
        </r>
      </text>
    </comment>
    <comment ref="X12" authorId="1" shapeId="0">
      <text>
        <r>
          <rPr>
            <b/>
            <sz val="9"/>
            <color indexed="81"/>
            <rFont val="Tahoma"/>
            <family val="2"/>
          </rPr>
          <t xml:space="preserve">Stephen Craft:
</t>
        </r>
        <r>
          <rPr>
            <sz val="9"/>
            <color indexed="81"/>
            <rFont val="Tahoma"/>
            <family val="2"/>
          </rPr>
          <t>Profile rad: BA</t>
        </r>
      </text>
    </comment>
    <comment ref="Y12" authorId="1" shapeId="0">
      <text>
        <r>
          <rPr>
            <b/>
            <sz val="9"/>
            <color indexed="81"/>
            <rFont val="Tahoma"/>
            <family val="2"/>
          </rPr>
          <t xml:space="preserve">Stephen Craft:
</t>
        </r>
        <r>
          <rPr>
            <sz val="9"/>
            <color indexed="81"/>
            <rFont val="Tahoma"/>
            <family val="2"/>
          </rPr>
          <t>Profile temp: AD</t>
        </r>
      </text>
    </comment>
    <comment ref="X13" authorId="1" shapeId="0">
      <text>
        <r>
          <rPr>
            <b/>
            <sz val="9"/>
            <color indexed="81"/>
            <rFont val="Tahoma"/>
            <family val="2"/>
          </rPr>
          <t xml:space="preserve">Stephen Craft:
</t>
        </r>
        <r>
          <rPr>
            <sz val="9"/>
            <color indexed="81"/>
            <rFont val="Tahoma"/>
            <family val="2"/>
          </rPr>
          <t>Profile rad: BA</t>
        </r>
      </text>
    </comment>
    <comment ref="Y13" authorId="1" shapeId="0">
      <text>
        <r>
          <rPr>
            <b/>
            <sz val="9"/>
            <color indexed="81"/>
            <rFont val="Tahoma"/>
            <family val="2"/>
          </rPr>
          <t xml:space="preserve">Stephen Craft:
</t>
        </r>
        <r>
          <rPr>
            <sz val="9"/>
            <color indexed="81"/>
            <rFont val="Tahoma"/>
            <family val="2"/>
          </rPr>
          <t>Profile temp: AD</t>
        </r>
      </text>
    </comment>
    <comment ref="X14" authorId="1" shapeId="0">
      <text>
        <r>
          <rPr>
            <b/>
            <sz val="9"/>
            <color indexed="81"/>
            <rFont val="Tahoma"/>
            <family val="2"/>
          </rPr>
          <t xml:space="preserve">Stephen Craft:
</t>
        </r>
        <r>
          <rPr>
            <sz val="9"/>
            <color indexed="81"/>
            <rFont val="Tahoma"/>
            <family val="2"/>
          </rPr>
          <t>Profile rad: AB</t>
        </r>
      </text>
    </comment>
    <comment ref="Y14" authorId="1" shapeId="0">
      <text>
        <r>
          <rPr>
            <b/>
            <sz val="9"/>
            <color indexed="81"/>
            <rFont val="Tahoma"/>
            <family val="2"/>
          </rPr>
          <t xml:space="preserve">Stephen Craft:
</t>
        </r>
        <r>
          <rPr>
            <sz val="9"/>
            <color indexed="81"/>
            <rFont val="Tahoma"/>
            <family val="2"/>
          </rPr>
          <t>Profile temp: AB</t>
        </r>
      </text>
    </comment>
    <comment ref="X15" authorId="1" shapeId="0">
      <text>
        <r>
          <rPr>
            <b/>
            <sz val="9"/>
            <color indexed="81"/>
            <rFont val="Tahoma"/>
            <family val="2"/>
          </rPr>
          <t xml:space="preserve">Stephen Craft:
</t>
        </r>
        <r>
          <rPr>
            <sz val="9"/>
            <color indexed="81"/>
            <rFont val="Tahoma"/>
            <family val="2"/>
          </rPr>
          <t>Profile rad: BA</t>
        </r>
      </text>
    </comment>
    <comment ref="Y15" authorId="1" shapeId="0">
      <text>
        <r>
          <rPr>
            <b/>
            <sz val="9"/>
            <color indexed="81"/>
            <rFont val="Tahoma"/>
            <family val="2"/>
          </rPr>
          <t xml:space="preserve">Stephen Craft:
</t>
        </r>
        <r>
          <rPr>
            <sz val="9"/>
            <color indexed="81"/>
            <rFont val="Tahoma"/>
            <family val="2"/>
          </rPr>
          <t>Profile temp: BA</t>
        </r>
      </text>
    </comment>
    <comment ref="X16" authorId="1" shapeId="0">
      <text>
        <r>
          <rPr>
            <b/>
            <sz val="9"/>
            <color indexed="81"/>
            <rFont val="Tahoma"/>
            <family val="2"/>
          </rPr>
          <t xml:space="preserve">Stephen Craft:
</t>
        </r>
        <r>
          <rPr>
            <sz val="9"/>
            <color indexed="81"/>
            <rFont val="Tahoma"/>
            <family val="2"/>
          </rPr>
          <t>Profile rad: BA</t>
        </r>
      </text>
    </comment>
    <comment ref="Y16" authorId="1" shapeId="0">
      <text>
        <r>
          <rPr>
            <b/>
            <sz val="9"/>
            <color indexed="81"/>
            <rFont val="Tahoma"/>
            <family val="2"/>
          </rPr>
          <t xml:space="preserve">Stephen Craft:
</t>
        </r>
        <r>
          <rPr>
            <sz val="9"/>
            <color indexed="81"/>
            <rFont val="Tahoma"/>
            <family val="2"/>
          </rPr>
          <t>Profile temp: BA</t>
        </r>
      </text>
    </comment>
    <comment ref="X17" authorId="1" shapeId="0">
      <text>
        <r>
          <rPr>
            <b/>
            <sz val="9"/>
            <color indexed="81"/>
            <rFont val="Tahoma"/>
            <family val="2"/>
          </rPr>
          <t xml:space="preserve">Stephen Craft:
</t>
        </r>
        <r>
          <rPr>
            <sz val="9"/>
            <color indexed="81"/>
            <rFont val="Tahoma"/>
            <family val="2"/>
          </rPr>
          <t>Profile rad: BA</t>
        </r>
      </text>
    </comment>
    <comment ref="Y17" authorId="1" shapeId="0">
      <text>
        <r>
          <rPr>
            <b/>
            <sz val="9"/>
            <color indexed="81"/>
            <rFont val="Tahoma"/>
            <family val="2"/>
          </rPr>
          <t xml:space="preserve">Stephen Craft:
</t>
        </r>
        <r>
          <rPr>
            <sz val="9"/>
            <color indexed="81"/>
            <rFont val="Tahoma"/>
            <family val="2"/>
          </rPr>
          <t>Profile temp: AB</t>
        </r>
      </text>
    </comment>
    <comment ref="X18" authorId="1" shapeId="0">
      <text>
        <r>
          <rPr>
            <b/>
            <sz val="9"/>
            <color indexed="81"/>
            <rFont val="Tahoma"/>
            <family val="2"/>
          </rPr>
          <t xml:space="preserve">Stephen Craft:
</t>
        </r>
        <r>
          <rPr>
            <sz val="9"/>
            <color indexed="81"/>
            <rFont val="Tahoma"/>
            <family val="2"/>
          </rPr>
          <t>Profile rad: AB</t>
        </r>
      </text>
    </comment>
    <comment ref="Y18" authorId="1" shapeId="0">
      <text>
        <r>
          <rPr>
            <b/>
            <sz val="9"/>
            <color indexed="81"/>
            <rFont val="Tahoma"/>
            <family val="2"/>
          </rPr>
          <t xml:space="preserve">Stephen Craft:
</t>
        </r>
        <r>
          <rPr>
            <sz val="9"/>
            <color indexed="81"/>
            <rFont val="Tahoma"/>
            <family val="2"/>
          </rPr>
          <t>Profile temp: AB</t>
        </r>
      </text>
    </comment>
    <comment ref="X19" authorId="1" shapeId="0">
      <text>
        <r>
          <rPr>
            <b/>
            <sz val="9"/>
            <color indexed="81"/>
            <rFont val="Tahoma"/>
            <family val="2"/>
          </rPr>
          <t xml:space="preserve">Stephen Craft:
</t>
        </r>
        <r>
          <rPr>
            <sz val="9"/>
            <color indexed="81"/>
            <rFont val="Tahoma"/>
            <family val="2"/>
          </rPr>
          <t>Profile rad: BA</t>
        </r>
      </text>
    </comment>
    <comment ref="Y19" authorId="1" shapeId="0">
      <text>
        <r>
          <rPr>
            <b/>
            <sz val="9"/>
            <color indexed="81"/>
            <rFont val="Tahoma"/>
            <family val="2"/>
          </rPr>
          <t xml:space="preserve">Stephen Craft:
</t>
        </r>
        <r>
          <rPr>
            <sz val="9"/>
            <color indexed="81"/>
            <rFont val="Tahoma"/>
            <family val="2"/>
          </rPr>
          <t>Profile temp: AB</t>
        </r>
      </text>
    </comment>
    <comment ref="X20" authorId="1" shapeId="0">
      <text>
        <r>
          <rPr>
            <b/>
            <sz val="9"/>
            <color indexed="81"/>
            <rFont val="Tahoma"/>
            <family val="2"/>
          </rPr>
          <t xml:space="preserve">Stephen Craft:
</t>
        </r>
        <r>
          <rPr>
            <sz val="9"/>
            <color indexed="81"/>
            <rFont val="Tahoma"/>
            <family val="2"/>
          </rPr>
          <t>Profile rad: BA</t>
        </r>
      </text>
    </comment>
    <comment ref="Y20" authorId="1" shapeId="0">
      <text>
        <r>
          <rPr>
            <b/>
            <sz val="9"/>
            <color indexed="81"/>
            <rFont val="Tahoma"/>
            <family val="2"/>
          </rPr>
          <t xml:space="preserve">Stephen Craft:
</t>
        </r>
        <r>
          <rPr>
            <sz val="9"/>
            <color indexed="81"/>
            <rFont val="Tahoma"/>
            <family val="2"/>
          </rPr>
          <t>Profile temp: BA</t>
        </r>
      </text>
    </comment>
    <comment ref="X21" authorId="1" shapeId="0">
      <text>
        <r>
          <rPr>
            <b/>
            <sz val="9"/>
            <color indexed="81"/>
            <rFont val="Tahoma"/>
            <family val="2"/>
          </rPr>
          <t xml:space="preserve">Stephen Craft:
</t>
        </r>
        <r>
          <rPr>
            <sz val="9"/>
            <color indexed="81"/>
            <rFont val="Tahoma"/>
            <family val="2"/>
          </rPr>
          <t>Profile rad: AB</t>
        </r>
      </text>
    </comment>
    <comment ref="Y21" authorId="1" shapeId="0">
      <text>
        <r>
          <rPr>
            <b/>
            <sz val="9"/>
            <color indexed="81"/>
            <rFont val="Tahoma"/>
            <family val="2"/>
          </rPr>
          <t xml:space="preserve">Stephen Craft:
</t>
        </r>
        <r>
          <rPr>
            <sz val="9"/>
            <color indexed="81"/>
            <rFont val="Tahoma"/>
            <family val="2"/>
          </rPr>
          <t>Profile temp: AD</t>
        </r>
      </text>
    </comment>
    <comment ref="X22" authorId="1" shapeId="0">
      <text>
        <r>
          <rPr>
            <b/>
            <sz val="9"/>
            <color indexed="81"/>
            <rFont val="Tahoma"/>
            <family val="2"/>
          </rPr>
          <t xml:space="preserve">Stephen Craft:
</t>
        </r>
        <r>
          <rPr>
            <sz val="9"/>
            <color indexed="81"/>
            <rFont val="Tahoma"/>
            <family val="2"/>
          </rPr>
          <t>Profile rad: BA</t>
        </r>
      </text>
    </comment>
    <comment ref="Y22" authorId="1" shapeId="0">
      <text>
        <r>
          <rPr>
            <b/>
            <sz val="9"/>
            <color indexed="81"/>
            <rFont val="Tahoma"/>
            <family val="2"/>
          </rPr>
          <t xml:space="preserve">Stephen Craft:
</t>
        </r>
        <r>
          <rPr>
            <sz val="9"/>
            <color indexed="81"/>
            <rFont val="Tahoma"/>
            <family val="2"/>
          </rPr>
          <t>Profile temp: AD</t>
        </r>
      </text>
    </comment>
    <comment ref="X23" authorId="1" shapeId="0">
      <text>
        <r>
          <rPr>
            <b/>
            <sz val="9"/>
            <color indexed="81"/>
            <rFont val="Tahoma"/>
            <family val="2"/>
          </rPr>
          <t xml:space="preserve">Stephen Craft:
</t>
        </r>
        <r>
          <rPr>
            <sz val="9"/>
            <color indexed="81"/>
            <rFont val="Tahoma"/>
            <family val="2"/>
          </rPr>
          <t>Profile rad: BA</t>
        </r>
      </text>
    </comment>
    <comment ref="Y23" authorId="1" shapeId="0">
      <text>
        <r>
          <rPr>
            <b/>
            <sz val="9"/>
            <color indexed="81"/>
            <rFont val="Tahoma"/>
            <family val="2"/>
          </rPr>
          <t xml:space="preserve">Stephen Craft:
</t>
        </r>
        <r>
          <rPr>
            <sz val="9"/>
            <color indexed="81"/>
            <rFont val="Tahoma"/>
            <family val="2"/>
          </rPr>
          <t>Profile temp: AB</t>
        </r>
      </text>
    </comment>
    <comment ref="X24" authorId="1" shapeId="0">
      <text>
        <r>
          <rPr>
            <b/>
            <sz val="9"/>
            <color indexed="81"/>
            <rFont val="Tahoma"/>
            <family val="2"/>
          </rPr>
          <t xml:space="preserve">Stephen Craft:
</t>
        </r>
        <r>
          <rPr>
            <sz val="9"/>
            <color indexed="81"/>
            <rFont val="Tahoma"/>
            <family val="2"/>
          </rPr>
          <t>Profile rad: BA</t>
        </r>
      </text>
    </comment>
    <comment ref="Y24" authorId="1" shapeId="0">
      <text>
        <r>
          <rPr>
            <b/>
            <sz val="9"/>
            <color indexed="81"/>
            <rFont val="Tahoma"/>
            <family val="2"/>
          </rPr>
          <t xml:space="preserve">Stephen Craft:
</t>
        </r>
        <r>
          <rPr>
            <sz val="9"/>
            <color indexed="81"/>
            <rFont val="Tahoma"/>
            <family val="2"/>
          </rPr>
          <t>Profile temp: BA</t>
        </r>
      </text>
    </comment>
    <comment ref="X25" authorId="1" shapeId="0">
      <text>
        <r>
          <rPr>
            <b/>
            <sz val="9"/>
            <color indexed="81"/>
            <rFont val="Tahoma"/>
            <family val="2"/>
          </rPr>
          <t xml:space="preserve">Stephen Craft:
</t>
        </r>
        <r>
          <rPr>
            <sz val="9"/>
            <color indexed="81"/>
            <rFont val="Tahoma"/>
            <family val="2"/>
          </rPr>
          <t>Profile rad: BA</t>
        </r>
      </text>
    </comment>
    <comment ref="Y25" authorId="1" shapeId="0">
      <text>
        <r>
          <rPr>
            <b/>
            <sz val="9"/>
            <color indexed="81"/>
            <rFont val="Tahoma"/>
            <family val="2"/>
          </rPr>
          <t xml:space="preserve">Stephen Craft:
</t>
        </r>
        <r>
          <rPr>
            <sz val="9"/>
            <color indexed="81"/>
            <rFont val="Tahoma"/>
            <family val="2"/>
          </rPr>
          <t>Profile temp: AB</t>
        </r>
      </text>
    </comment>
    <comment ref="X26" authorId="1" shapeId="0">
      <text>
        <r>
          <rPr>
            <b/>
            <sz val="9"/>
            <color indexed="81"/>
            <rFont val="Tahoma"/>
            <family val="2"/>
          </rPr>
          <t xml:space="preserve">Stephen Craft:
</t>
        </r>
        <r>
          <rPr>
            <sz val="9"/>
            <color indexed="81"/>
            <rFont val="Tahoma"/>
            <family val="2"/>
          </rPr>
          <t>Profile rad: BA</t>
        </r>
      </text>
    </comment>
    <comment ref="Y26" authorId="1" shapeId="0">
      <text>
        <r>
          <rPr>
            <b/>
            <sz val="9"/>
            <color indexed="81"/>
            <rFont val="Tahoma"/>
            <family val="2"/>
          </rPr>
          <t xml:space="preserve">Stephen Craft:
</t>
        </r>
        <r>
          <rPr>
            <sz val="9"/>
            <color indexed="81"/>
            <rFont val="Tahoma"/>
            <family val="2"/>
          </rPr>
          <t>Profile temp: AB</t>
        </r>
      </text>
    </comment>
    <comment ref="X27" authorId="1" shapeId="0">
      <text>
        <r>
          <rPr>
            <b/>
            <sz val="9"/>
            <color indexed="81"/>
            <rFont val="Tahoma"/>
            <family val="2"/>
          </rPr>
          <t xml:space="preserve">Stephen Craft:
</t>
        </r>
        <r>
          <rPr>
            <sz val="9"/>
            <color indexed="81"/>
            <rFont val="Tahoma"/>
            <family val="2"/>
          </rPr>
          <t>Profile rad: BA</t>
        </r>
      </text>
    </comment>
    <comment ref="Y27" authorId="1" shapeId="0">
      <text>
        <r>
          <rPr>
            <b/>
            <sz val="9"/>
            <color indexed="81"/>
            <rFont val="Tahoma"/>
            <family val="2"/>
          </rPr>
          <t xml:space="preserve">Stephen Craft:
</t>
        </r>
        <r>
          <rPr>
            <sz val="9"/>
            <color indexed="81"/>
            <rFont val="Tahoma"/>
            <family val="2"/>
          </rPr>
          <t>Profile temp: AB</t>
        </r>
      </text>
    </comment>
    <comment ref="X28" authorId="1" shapeId="0">
      <text>
        <r>
          <rPr>
            <b/>
            <sz val="9"/>
            <color indexed="81"/>
            <rFont val="Tahoma"/>
            <family val="2"/>
          </rPr>
          <t xml:space="preserve">Stephen Craft:
</t>
        </r>
        <r>
          <rPr>
            <sz val="9"/>
            <color indexed="81"/>
            <rFont val="Tahoma"/>
            <family val="2"/>
          </rPr>
          <t>Profile rad: AB</t>
        </r>
      </text>
    </comment>
    <comment ref="Y28" authorId="1" shapeId="0">
      <text>
        <r>
          <rPr>
            <b/>
            <sz val="9"/>
            <color indexed="81"/>
            <rFont val="Tahoma"/>
            <family val="2"/>
          </rPr>
          <t xml:space="preserve">Stephen Craft:
</t>
        </r>
        <r>
          <rPr>
            <sz val="9"/>
            <color indexed="81"/>
            <rFont val="Tahoma"/>
            <family val="2"/>
          </rPr>
          <t>Profile temp: AB</t>
        </r>
      </text>
    </comment>
    <comment ref="X29" authorId="1" shapeId="0">
      <text>
        <r>
          <rPr>
            <b/>
            <sz val="9"/>
            <color indexed="81"/>
            <rFont val="Tahoma"/>
            <family val="2"/>
          </rPr>
          <t xml:space="preserve">Stephen Craft:
</t>
        </r>
        <r>
          <rPr>
            <sz val="9"/>
            <color indexed="81"/>
            <rFont val="Tahoma"/>
            <family val="2"/>
          </rPr>
          <t>Profile rad: BA</t>
        </r>
      </text>
    </comment>
    <comment ref="Y29" authorId="1" shapeId="0">
      <text>
        <r>
          <rPr>
            <b/>
            <sz val="9"/>
            <color indexed="81"/>
            <rFont val="Tahoma"/>
            <family val="2"/>
          </rPr>
          <t xml:space="preserve">Stephen Craft:
</t>
        </r>
        <r>
          <rPr>
            <sz val="9"/>
            <color indexed="81"/>
            <rFont val="Tahoma"/>
            <family val="2"/>
          </rPr>
          <t>Profile temp: AB</t>
        </r>
      </text>
    </comment>
    <comment ref="X30" authorId="1" shapeId="0">
      <text>
        <r>
          <rPr>
            <b/>
            <sz val="9"/>
            <color indexed="81"/>
            <rFont val="Tahoma"/>
            <family val="2"/>
          </rPr>
          <t xml:space="preserve">Stephen Craft:
</t>
        </r>
        <r>
          <rPr>
            <sz val="9"/>
            <color indexed="81"/>
            <rFont val="Tahoma"/>
            <family val="2"/>
          </rPr>
          <t>Profile rad: BA</t>
        </r>
      </text>
    </comment>
    <comment ref="Y30" authorId="1" shapeId="0">
      <text>
        <r>
          <rPr>
            <b/>
            <sz val="9"/>
            <color indexed="81"/>
            <rFont val="Tahoma"/>
            <family val="2"/>
          </rPr>
          <t xml:space="preserve">Stephen Craft:
</t>
        </r>
        <r>
          <rPr>
            <sz val="9"/>
            <color indexed="81"/>
            <rFont val="Tahoma"/>
            <family val="2"/>
          </rPr>
          <t>Profile temp: AB</t>
        </r>
      </text>
    </comment>
    <comment ref="X31" authorId="1" shapeId="0">
      <text>
        <r>
          <rPr>
            <b/>
            <sz val="9"/>
            <color indexed="81"/>
            <rFont val="Tahoma"/>
            <family val="2"/>
          </rPr>
          <t xml:space="preserve">Stephen Craft:
</t>
        </r>
        <r>
          <rPr>
            <sz val="9"/>
            <color indexed="81"/>
            <rFont val="Tahoma"/>
            <family val="2"/>
          </rPr>
          <t>Profile rad: BA</t>
        </r>
      </text>
    </comment>
    <comment ref="Y31" authorId="1" shapeId="0">
      <text>
        <r>
          <rPr>
            <b/>
            <sz val="9"/>
            <color indexed="81"/>
            <rFont val="Tahoma"/>
            <family val="2"/>
          </rPr>
          <t xml:space="preserve">Stephen Craft:
</t>
        </r>
        <r>
          <rPr>
            <sz val="9"/>
            <color indexed="81"/>
            <rFont val="Tahoma"/>
            <family val="2"/>
          </rPr>
          <t>Profile temp: BA</t>
        </r>
      </text>
    </comment>
    <comment ref="X32" authorId="1" shapeId="0">
      <text>
        <r>
          <rPr>
            <b/>
            <sz val="9"/>
            <color indexed="81"/>
            <rFont val="Tahoma"/>
            <family val="2"/>
          </rPr>
          <t xml:space="preserve">Stephen Craft:
</t>
        </r>
        <r>
          <rPr>
            <sz val="9"/>
            <color indexed="81"/>
            <rFont val="Tahoma"/>
            <family val="2"/>
          </rPr>
          <t>Profile rad: BA</t>
        </r>
      </text>
    </comment>
    <comment ref="Y32" authorId="1" shapeId="0">
      <text>
        <r>
          <rPr>
            <b/>
            <sz val="9"/>
            <color indexed="81"/>
            <rFont val="Tahoma"/>
            <family val="2"/>
          </rPr>
          <t xml:space="preserve">Stephen Craft:
</t>
        </r>
        <r>
          <rPr>
            <sz val="9"/>
            <color indexed="81"/>
            <rFont val="Tahoma"/>
            <family val="2"/>
          </rPr>
          <t>Profile temp: AB</t>
        </r>
      </text>
    </comment>
    <comment ref="X33" authorId="1" shapeId="0">
      <text>
        <r>
          <rPr>
            <b/>
            <sz val="9"/>
            <color indexed="81"/>
            <rFont val="Tahoma"/>
            <family val="2"/>
          </rPr>
          <t xml:space="preserve">Stephen Craft:
</t>
        </r>
        <r>
          <rPr>
            <sz val="9"/>
            <color indexed="81"/>
            <rFont val="Tahoma"/>
            <family val="2"/>
          </rPr>
          <t>Profile rad: BA</t>
        </r>
      </text>
    </comment>
    <comment ref="Y33" authorId="1" shapeId="0">
      <text>
        <r>
          <rPr>
            <b/>
            <sz val="9"/>
            <color indexed="81"/>
            <rFont val="Tahoma"/>
            <family val="2"/>
          </rPr>
          <t xml:space="preserve">Stephen Craft:
</t>
        </r>
        <r>
          <rPr>
            <sz val="9"/>
            <color indexed="81"/>
            <rFont val="Tahoma"/>
            <family val="2"/>
          </rPr>
          <t>Profile temp: AD</t>
        </r>
      </text>
    </comment>
    <comment ref="X34" authorId="1" shapeId="0">
      <text>
        <r>
          <rPr>
            <b/>
            <sz val="9"/>
            <color indexed="81"/>
            <rFont val="Tahoma"/>
            <family val="2"/>
          </rPr>
          <t>Stephen Craft:</t>
        </r>
        <r>
          <rPr>
            <sz val="9"/>
            <color indexed="81"/>
            <rFont val="Tahoma"/>
            <family val="2"/>
          </rPr>
          <t xml:space="preserve">
Profile rad: AB</t>
        </r>
      </text>
    </comment>
    <comment ref="Y34" authorId="1" shapeId="0">
      <text>
        <r>
          <rPr>
            <b/>
            <sz val="9"/>
            <color indexed="81"/>
            <rFont val="Tahoma"/>
            <family val="2"/>
          </rPr>
          <t>Stephen Craft:</t>
        </r>
        <r>
          <rPr>
            <sz val="9"/>
            <color indexed="81"/>
            <rFont val="Tahoma"/>
            <family val="2"/>
          </rPr>
          <t xml:space="preserve">
Profile temp: AB</t>
        </r>
      </text>
    </comment>
    <comment ref="D35" authorId="0" shapeId="0">
      <text>
        <r>
          <rPr>
            <b/>
            <sz val="11"/>
            <color indexed="81"/>
            <rFont val="Tahoma"/>
            <family val="2"/>
          </rPr>
          <t>Asa Akers:</t>
        </r>
        <r>
          <rPr>
            <sz val="11"/>
            <color indexed="81"/>
            <rFont val="Tahoma"/>
            <family val="2"/>
          </rPr>
          <t xml:space="preserve">
Layout not reviewed yet 3/11/14</t>
        </r>
      </text>
    </comment>
    <comment ref="X35" authorId="1" shapeId="0">
      <text>
        <r>
          <rPr>
            <b/>
            <sz val="9"/>
            <color indexed="81"/>
            <rFont val="Tahoma"/>
            <family val="2"/>
          </rPr>
          <t xml:space="preserve">Stephen Craft:
</t>
        </r>
        <r>
          <rPr>
            <sz val="9"/>
            <color indexed="81"/>
            <rFont val="Tahoma"/>
            <family val="2"/>
          </rPr>
          <t>Profile rad: BA</t>
        </r>
      </text>
    </comment>
    <comment ref="Y35" authorId="1" shapeId="0">
      <text>
        <r>
          <rPr>
            <b/>
            <sz val="9"/>
            <color indexed="81"/>
            <rFont val="Tahoma"/>
            <family val="2"/>
          </rPr>
          <t xml:space="preserve">Stephen Craft:
</t>
        </r>
        <r>
          <rPr>
            <sz val="9"/>
            <color indexed="81"/>
            <rFont val="Tahoma"/>
            <family val="2"/>
          </rPr>
          <t>Profile temp: AB</t>
        </r>
      </text>
    </comment>
    <comment ref="X36" authorId="1" shapeId="0">
      <text>
        <r>
          <rPr>
            <b/>
            <sz val="9"/>
            <color indexed="81"/>
            <rFont val="Tahoma"/>
            <family val="2"/>
          </rPr>
          <t xml:space="preserve">Stephen Craft:
</t>
        </r>
        <r>
          <rPr>
            <sz val="9"/>
            <color indexed="81"/>
            <rFont val="Tahoma"/>
            <family val="2"/>
          </rPr>
          <t>Profile rad: BA</t>
        </r>
      </text>
    </comment>
    <comment ref="Y36" authorId="1" shapeId="0">
      <text>
        <r>
          <rPr>
            <b/>
            <sz val="9"/>
            <color indexed="81"/>
            <rFont val="Tahoma"/>
            <family val="2"/>
          </rPr>
          <t xml:space="preserve">Stephen Craft:
</t>
        </r>
        <r>
          <rPr>
            <sz val="9"/>
            <color indexed="81"/>
            <rFont val="Tahoma"/>
            <family val="2"/>
          </rPr>
          <t>Profile temp: BA</t>
        </r>
      </text>
    </comment>
    <comment ref="X37" authorId="1" shapeId="0">
      <text>
        <r>
          <rPr>
            <b/>
            <sz val="9"/>
            <color indexed="81"/>
            <rFont val="Tahoma"/>
            <family val="2"/>
          </rPr>
          <t>Stephen Craft:</t>
        </r>
        <r>
          <rPr>
            <sz val="9"/>
            <color indexed="81"/>
            <rFont val="Tahoma"/>
            <family val="2"/>
          </rPr>
          <t xml:space="preserve">
Profile rad: BA</t>
        </r>
      </text>
    </comment>
    <comment ref="Y37" authorId="1" shapeId="0">
      <text>
        <r>
          <rPr>
            <b/>
            <sz val="9"/>
            <color indexed="81"/>
            <rFont val="Tahoma"/>
            <family val="2"/>
          </rPr>
          <t>Stephen Craft:</t>
        </r>
        <r>
          <rPr>
            <sz val="9"/>
            <color indexed="81"/>
            <rFont val="Tahoma"/>
            <family val="2"/>
          </rPr>
          <t xml:space="preserve">
Profile temp: BA</t>
        </r>
      </text>
    </comment>
    <comment ref="X38" authorId="1" shapeId="0">
      <text>
        <r>
          <rPr>
            <b/>
            <sz val="9"/>
            <color indexed="81"/>
            <rFont val="Tahoma"/>
            <family val="2"/>
          </rPr>
          <t>Stephen Craft:</t>
        </r>
        <r>
          <rPr>
            <sz val="9"/>
            <color indexed="81"/>
            <rFont val="Tahoma"/>
            <family val="2"/>
          </rPr>
          <t xml:space="preserve">
Profile rad: AB</t>
        </r>
      </text>
    </comment>
    <comment ref="Y38" authorId="1" shapeId="0">
      <text>
        <r>
          <rPr>
            <b/>
            <sz val="9"/>
            <color indexed="81"/>
            <rFont val="Tahoma"/>
            <family val="2"/>
          </rPr>
          <t>Stephen Craft:</t>
        </r>
        <r>
          <rPr>
            <sz val="9"/>
            <color indexed="81"/>
            <rFont val="Tahoma"/>
            <family val="2"/>
          </rPr>
          <t xml:space="preserve">
Profile temp: AB</t>
        </r>
      </text>
    </comment>
    <comment ref="X39" authorId="1" shapeId="0">
      <text>
        <r>
          <rPr>
            <b/>
            <sz val="9"/>
            <color indexed="81"/>
            <rFont val="Tahoma"/>
            <family val="2"/>
          </rPr>
          <t>Stephen Craft:</t>
        </r>
        <r>
          <rPr>
            <sz val="9"/>
            <color indexed="81"/>
            <rFont val="Tahoma"/>
            <family val="2"/>
          </rPr>
          <t xml:space="preserve">
Profile rad: AB</t>
        </r>
      </text>
    </comment>
    <comment ref="Y39" authorId="1" shapeId="0">
      <text>
        <r>
          <rPr>
            <b/>
            <sz val="9"/>
            <color indexed="81"/>
            <rFont val="Tahoma"/>
            <family val="2"/>
          </rPr>
          <t>Stephen Craft:</t>
        </r>
        <r>
          <rPr>
            <sz val="9"/>
            <color indexed="81"/>
            <rFont val="Tahoma"/>
            <family val="2"/>
          </rPr>
          <t xml:space="preserve">
Profile temp: AB</t>
        </r>
      </text>
    </comment>
    <comment ref="D40" authorId="0" shapeId="0">
      <text>
        <r>
          <rPr>
            <b/>
            <sz val="11"/>
            <color indexed="81"/>
            <rFont val="Tahoma"/>
            <family val="2"/>
          </rPr>
          <t>Asa Akers:</t>
        </r>
        <r>
          <rPr>
            <sz val="11"/>
            <color indexed="81"/>
            <rFont val="Tahoma"/>
            <family val="2"/>
          </rPr>
          <t xml:space="preserve">
Layout not reviewed yet 3/11/14</t>
        </r>
      </text>
    </comment>
    <comment ref="J40" authorId="0" shapeId="0">
      <text>
        <r>
          <rPr>
            <b/>
            <sz val="9"/>
            <color indexed="81"/>
            <rFont val="Tahoma"/>
            <family val="2"/>
          </rPr>
          <t>Asa Akers:</t>
        </r>
        <r>
          <rPr>
            <sz val="9"/>
            <color indexed="81"/>
            <rFont val="Tahoma"/>
            <family val="2"/>
          </rPr>
          <t xml:space="preserve">
282 ft existing tower</t>
        </r>
      </text>
    </comment>
    <comment ref="X40" authorId="1" shapeId="0">
      <text>
        <r>
          <rPr>
            <b/>
            <sz val="9"/>
            <color indexed="81"/>
            <rFont val="Tahoma"/>
            <family val="2"/>
          </rPr>
          <t>Stephen Craft:</t>
        </r>
        <r>
          <rPr>
            <sz val="9"/>
            <color indexed="81"/>
            <rFont val="Tahoma"/>
            <family val="2"/>
          </rPr>
          <t xml:space="preserve">
Profile rad: BA</t>
        </r>
      </text>
    </comment>
    <comment ref="Y40" authorId="1" shapeId="0">
      <text>
        <r>
          <rPr>
            <b/>
            <sz val="9"/>
            <color indexed="81"/>
            <rFont val="Tahoma"/>
            <family val="2"/>
          </rPr>
          <t xml:space="preserve">Stephen Craft:
</t>
        </r>
        <r>
          <rPr>
            <sz val="9"/>
            <color indexed="81"/>
            <rFont val="Tahoma"/>
            <family val="2"/>
          </rPr>
          <t>Profile temp: AB</t>
        </r>
      </text>
    </comment>
    <comment ref="X41" authorId="1" shapeId="0">
      <text>
        <r>
          <rPr>
            <b/>
            <sz val="9"/>
            <color indexed="81"/>
            <rFont val="Tahoma"/>
            <family val="2"/>
          </rPr>
          <t>Stephen Craft:</t>
        </r>
        <r>
          <rPr>
            <sz val="9"/>
            <color indexed="81"/>
            <rFont val="Tahoma"/>
            <family val="2"/>
          </rPr>
          <t xml:space="preserve">
Profile rad: BA</t>
        </r>
      </text>
    </comment>
    <comment ref="Y41" authorId="1" shapeId="0">
      <text>
        <r>
          <rPr>
            <b/>
            <sz val="9"/>
            <color indexed="81"/>
            <rFont val="Tahoma"/>
            <family val="2"/>
          </rPr>
          <t>Stephen Craft:</t>
        </r>
        <r>
          <rPr>
            <sz val="9"/>
            <color indexed="81"/>
            <rFont val="Tahoma"/>
            <family val="2"/>
          </rPr>
          <t xml:space="preserve">
Profile temp: BA</t>
        </r>
      </text>
    </comment>
    <comment ref="X42" authorId="1" shapeId="0">
      <text>
        <r>
          <rPr>
            <b/>
            <sz val="9"/>
            <color indexed="81"/>
            <rFont val="Tahoma"/>
            <family val="2"/>
          </rPr>
          <t>Stephen Craft:</t>
        </r>
        <r>
          <rPr>
            <sz val="9"/>
            <color indexed="81"/>
            <rFont val="Tahoma"/>
            <family val="2"/>
          </rPr>
          <t xml:space="preserve">
Profile rad: BA</t>
        </r>
      </text>
    </comment>
    <comment ref="Y42" authorId="1" shapeId="0">
      <text>
        <r>
          <rPr>
            <b/>
            <sz val="9"/>
            <color indexed="81"/>
            <rFont val="Tahoma"/>
            <family val="2"/>
          </rPr>
          <t xml:space="preserve">Stephen Craft:
</t>
        </r>
        <r>
          <rPr>
            <sz val="9"/>
            <color indexed="81"/>
            <rFont val="Tahoma"/>
            <family val="2"/>
          </rPr>
          <t>Profile temp: AD</t>
        </r>
      </text>
    </comment>
    <comment ref="X43" authorId="1" shapeId="0">
      <text>
        <r>
          <rPr>
            <b/>
            <sz val="9"/>
            <color indexed="81"/>
            <rFont val="Tahoma"/>
            <family val="2"/>
          </rPr>
          <t>Stephen Craft:</t>
        </r>
        <r>
          <rPr>
            <sz val="9"/>
            <color indexed="81"/>
            <rFont val="Tahoma"/>
            <family val="2"/>
          </rPr>
          <t xml:space="preserve">
Profile rad: AB</t>
        </r>
      </text>
    </comment>
    <comment ref="Y43" authorId="1" shapeId="0">
      <text>
        <r>
          <rPr>
            <b/>
            <sz val="9"/>
            <color indexed="81"/>
            <rFont val="Tahoma"/>
            <family val="2"/>
          </rPr>
          <t>Stephen Craft:</t>
        </r>
        <r>
          <rPr>
            <sz val="9"/>
            <color indexed="81"/>
            <rFont val="Tahoma"/>
            <family val="2"/>
          </rPr>
          <t xml:space="preserve">
Profile temp: AD</t>
        </r>
      </text>
    </comment>
    <comment ref="X44" authorId="1" shapeId="0">
      <text>
        <r>
          <rPr>
            <b/>
            <sz val="9"/>
            <color indexed="81"/>
            <rFont val="Tahoma"/>
            <family val="2"/>
          </rPr>
          <t>Stephen Craft:</t>
        </r>
        <r>
          <rPr>
            <sz val="9"/>
            <color indexed="81"/>
            <rFont val="Tahoma"/>
            <family val="2"/>
          </rPr>
          <t xml:space="preserve">
Profile rad: BA</t>
        </r>
      </text>
    </comment>
    <comment ref="Y44" authorId="1" shapeId="0">
      <text>
        <r>
          <rPr>
            <b/>
            <sz val="9"/>
            <color indexed="81"/>
            <rFont val="Tahoma"/>
            <family val="2"/>
          </rPr>
          <t>Stephen Craft:</t>
        </r>
        <r>
          <rPr>
            <sz val="9"/>
            <color indexed="81"/>
            <rFont val="Tahoma"/>
            <family val="2"/>
          </rPr>
          <t xml:space="preserve">
Profile temp: BA</t>
        </r>
      </text>
    </comment>
    <comment ref="X45" authorId="1" shapeId="0">
      <text>
        <r>
          <rPr>
            <b/>
            <sz val="9"/>
            <color indexed="81"/>
            <rFont val="Tahoma"/>
            <family val="2"/>
          </rPr>
          <t>Stephen Craft:</t>
        </r>
        <r>
          <rPr>
            <sz val="9"/>
            <color indexed="81"/>
            <rFont val="Tahoma"/>
            <family val="2"/>
          </rPr>
          <t xml:space="preserve">
Profile rad: BA</t>
        </r>
      </text>
    </comment>
    <comment ref="Y45" authorId="1" shapeId="0">
      <text>
        <r>
          <rPr>
            <b/>
            <sz val="9"/>
            <color indexed="81"/>
            <rFont val="Tahoma"/>
            <family val="2"/>
          </rPr>
          <t>Stephen Craft:</t>
        </r>
        <r>
          <rPr>
            <sz val="9"/>
            <color indexed="81"/>
            <rFont val="Tahoma"/>
            <family val="2"/>
          </rPr>
          <t xml:space="preserve">
Profile temp: AB</t>
        </r>
      </text>
    </comment>
    <comment ref="X46" authorId="1" shapeId="0">
      <text>
        <r>
          <rPr>
            <b/>
            <sz val="9"/>
            <color indexed="81"/>
            <rFont val="Tahoma"/>
            <family val="2"/>
          </rPr>
          <t>Stephen Craft:</t>
        </r>
        <r>
          <rPr>
            <sz val="9"/>
            <color indexed="81"/>
            <rFont val="Tahoma"/>
            <family val="2"/>
          </rPr>
          <t xml:space="preserve">
Profile rad: BA</t>
        </r>
      </text>
    </comment>
    <comment ref="Y46" authorId="1" shapeId="0">
      <text>
        <r>
          <rPr>
            <b/>
            <sz val="9"/>
            <color indexed="81"/>
            <rFont val="Tahoma"/>
            <family val="2"/>
          </rPr>
          <t>Stephen Craft:</t>
        </r>
        <r>
          <rPr>
            <sz val="9"/>
            <color indexed="81"/>
            <rFont val="Tahoma"/>
            <family val="2"/>
          </rPr>
          <t xml:space="preserve">
Profile temp: BA</t>
        </r>
      </text>
    </comment>
    <comment ref="X47" authorId="1" shapeId="0">
      <text>
        <r>
          <rPr>
            <b/>
            <sz val="9"/>
            <color indexed="81"/>
            <rFont val="Tahoma"/>
            <family val="2"/>
          </rPr>
          <t>Stephen Craft:</t>
        </r>
        <r>
          <rPr>
            <sz val="9"/>
            <color indexed="81"/>
            <rFont val="Tahoma"/>
            <family val="2"/>
          </rPr>
          <t xml:space="preserve">
Profile rad: BA</t>
        </r>
      </text>
    </comment>
    <comment ref="Y47" authorId="1" shapeId="0">
      <text>
        <r>
          <rPr>
            <b/>
            <sz val="9"/>
            <color indexed="81"/>
            <rFont val="Tahoma"/>
            <family val="2"/>
          </rPr>
          <t>Stephen Craft:</t>
        </r>
        <r>
          <rPr>
            <sz val="9"/>
            <color indexed="81"/>
            <rFont val="Tahoma"/>
            <family val="2"/>
          </rPr>
          <t xml:space="preserve">
Profile temp: BA</t>
        </r>
      </text>
    </comment>
    <comment ref="X48" authorId="1" shapeId="0">
      <text>
        <r>
          <rPr>
            <b/>
            <sz val="9"/>
            <color indexed="81"/>
            <rFont val="Tahoma"/>
            <family val="2"/>
          </rPr>
          <t>Stephen Craft:</t>
        </r>
        <r>
          <rPr>
            <sz val="9"/>
            <color indexed="81"/>
            <rFont val="Tahoma"/>
            <family val="2"/>
          </rPr>
          <t xml:space="preserve">
Profile rad: BA</t>
        </r>
      </text>
    </comment>
    <comment ref="Y48" authorId="1" shapeId="0">
      <text>
        <r>
          <rPr>
            <b/>
            <sz val="9"/>
            <color indexed="81"/>
            <rFont val="Tahoma"/>
            <family val="2"/>
          </rPr>
          <t>Stephen Craft:</t>
        </r>
        <r>
          <rPr>
            <sz val="9"/>
            <color indexed="81"/>
            <rFont val="Tahoma"/>
            <family val="2"/>
          </rPr>
          <t xml:space="preserve">
Profile temp: BA</t>
        </r>
      </text>
    </comment>
    <comment ref="X49" authorId="1" shapeId="0">
      <text>
        <r>
          <rPr>
            <b/>
            <sz val="9"/>
            <color indexed="81"/>
            <rFont val="Tahoma"/>
            <family val="2"/>
          </rPr>
          <t>Stephen Craft:</t>
        </r>
        <r>
          <rPr>
            <sz val="9"/>
            <color indexed="81"/>
            <rFont val="Tahoma"/>
            <family val="2"/>
          </rPr>
          <t xml:space="preserve">
Profile rad: BA</t>
        </r>
      </text>
    </comment>
    <comment ref="Y49" authorId="1" shapeId="0">
      <text>
        <r>
          <rPr>
            <b/>
            <sz val="9"/>
            <color indexed="81"/>
            <rFont val="Tahoma"/>
            <family val="2"/>
          </rPr>
          <t>Stephen Craft:</t>
        </r>
        <r>
          <rPr>
            <sz val="9"/>
            <color indexed="81"/>
            <rFont val="Tahoma"/>
            <family val="2"/>
          </rPr>
          <t xml:space="preserve">
Profile temp: BA</t>
        </r>
      </text>
    </comment>
    <comment ref="X50" authorId="1" shapeId="0">
      <text>
        <r>
          <rPr>
            <b/>
            <sz val="9"/>
            <color indexed="81"/>
            <rFont val="Tahoma"/>
            <family val="2"/>
          </rPr>
          <t>Stephen Craft:</t>
        </r>
        <r>
          <rPr>
            <sz val="9"/>
            <color indexed="81"/>
            <rFont val="Tahoma"/>
            <family val="2"/>
          </rPr>
          <t xml:space="preserve">
Profile rad: BA</t>
        </r>
      </text>
    </comment>
    <comment ref="Y50" authorId="1" shapeId="0">
      <text>
        <r>
          <rPr>
            <b/>
            <sz val="9"/>
            <color indexed="81"/>
            <rFont val="Tahoma"/>
            <family val="2"/>
          </rPr>
          <t>Stephen Craft:</t>
        </r>
        <r>
          <rPr>
            <sz val="9"/>
            <color indexed="81"/>
            <rFont val="Tahoma"/>
            <family val="2"/>
          </rPr>
          <t xml:space="preserve">
Profile temp: BA</t>
        </r>
      </text>
    </comment>
    <comment ref="AB50" authorId="0" shapeId="0">
      <text>
        <r>
          <rPr>
            <b/>
            <sz val="11"/>
            <color indexed="81"/>
            <rFont val="Tahoma"/>
            <family val="2"/>
          </rPr>
          <t>Asa Akers:</t>
        </r>
        <r>
          <rPr>
            <sz val="11"/>
            <color indexed="81"/>
            <rFont val="Tahoma"/>
            <family val="2"/>
          </rPr>
          <t xml:space="preserve">
CRE approved to add one?</t>
        </r>
      </text>
    </comment>
    <comment ref="AP50" authorId="0" shapeId="0">
      <text>
        <r>
          <rPr>
            <b/>
            <sz val="11"/>
            <color indexed="81"/>
            <rFont val="Tahoma"/>
            <family val="2"/>
          </rPr>
          <t>Asa Akers:</t>
        </r>
        <r>
          <rPr>
            <sz val="11"/>
            <color indexed="81"/>
            <rFont val="Tahoma"/>
            <family val="2"/>
          </rPr>
          <t xml:space="preserve">
Li 8100 (Licor)? - used in MDP</t>
        </r>
      </text>
    </comment>
    <comment ref="AQ50" authorId="0" shapeId="0">
      <text>
        <r>
          <rPr>
            <b/>
            <sz val="11"/>
            <color indexed="81"/>
            <rFont val="Tahoma"/>
            <family val="2"/>
          </rPr>
          <t>Asa Akers:</t>
        </r>
        <r>
          <rPr>
            <sz val="11"/>
            <color indexed="81"/>
            <rFont val="Tahoma"/>
            <family val="2"/>
          </rPr>
          <t xml:space="preserve">
May be reduced count</t>
        </r>
      </text>
    </comment>
  </commentList>
</comments>
</file>

<file path=xl/comments3.xml><?xml version="1.0" encoding="utf-8"?>
<comments xmlns="http://schemas.openxmlformats.org/spreadsheetml/2006/main">
  <authors>
    <author>Ben Duvall</author>
    <author>Asa Akers</author>
    <author>Administrator</author>
    <author>Stephen Craft</author>
  </authors>
  <commentList>
    <comment ref="AP2" authorId="0" shapeId="0">
      <text>
        <r>
          <rPr>
            <b/>
            <sz val="9"/>
            <color indexed="81"/>
            <rFont val="Tahoma"/>
            <family val="2"/>
          </rPr>
          <t>These will be equal to SCR boom height values, unless:
- a boom is in the safety keep out zone of a towre section and gets pushed up or down
- SCR canopy height is off from actual as-measured by FCC at time of tower build and Hongyan needs to adjust profile</t>
        </r>
      </text>
    </comment>
    <comment ref="AX2" authorId="0" shapeId="0">
      <text>
        <r>
          <rPr>
            <b/>
            <sz val="9"/>
            <color indexed="81"/>
            <rFont val="Tahoma"/>
            <family val="2"/>
          </rPr>
          <t>Values indexed such that tower section 1.1 means boom is on section 2
DARK GREEN indicates boom is too high in tower section &amp; discussion with FIU will need to take place</t>
        </r>
      </text>
    </comment>
    <comment ref="BF2" authorId="0" shapeId="0">
      <text>
        <r>
          <rPr>
            <b/>
            <sz val="9"/>
            <color indexed="81"/>
            <rFont val="Tahoma"/>
            <family val="2"/>
          </rPr>
          <t>Values indexed such that tower section 1.1 means boom is on section 2
YELLOW indicates boom is too high in tower section &amp; discussion with FIU will need to take place</t>
        </r>
      </text>
    </comment>
    <comment ref="AO3" authorId="1" shapeId="0">
      <text>
        <r>
          <rPr>
            <b/>
            <sz val="11"/>
            <color indexed="81"/>
            <rFont val="Tahoma"/>
            <family val="2"/>
          </rPr>
          <t>Asa Akers:</t>
        </r>
        <r>
          <rPr>
            <sz val="11"/>
            <color indexed="81"/>
            <rFont val="Tahoma"/>
            <family val="2"/>
          </rPr>
          <t xml:space="preserve">
Flange is 1" thick</t>
        </r>
      </text>
    </comment>
    <comment ref="AQ3" authorId="1" shapeId="0">
      <text>
        <r>
          <rPr>
            <b/>
            <sz val="11"/>
            <color indexed="81"/>
            <rFont val="Tahoma"/>
            <family val="2"/>
          </rPr>
          <t>Asa Akers:</t>
        </r>
        <r>
          <rPr>
            <sz val="11"/>
            <color indexed="81"/>
            <rFont val="Tahoma"/>
            <family val="2"/>
          </rPr>
          <t xml:space="preserve">
Conversation about changes to boom height - Hongyan, Ben, Susan, Stephen Craft (Req).  
Process for this conversation isn't fixed.  Need to formalize when this occurs - ask Ben and Susan…Forest (making process to determine canopy height).  I will kick off conversations</t>
        </r>
      </text>
    </comment>
    <comment ref="AY3" authorId="1" shapeId="0">
      <text>
        <r>
          <rPr>
            <b/>
            <sz val="11"/>
            <color indexed="81"/>
            <rFont val="Tahoma"/>
            <family val="2"/>
          </rPr>
          <t>Asa Akers:</t>
        </r>
        <r>
          <rPr>
            <sz val="11"/>
            <color indexed="81"/>
            <rFont val="Tahoma"/>
            <family val="2"/>
          </rPr>
          <t xml:space="preserve">
Conversation about changes to boom height - Hongyan, Ben, Susan, Stephen Craft (Req).  
Process for this conversation isn't fixed.  Need to formalize when this occurs - ask Ben and Susan…Forest (making process to determine canopy height).  I will kick off conversations</t>
        </r>
      </text>
    </comment>
    <comment ref="BG3" authorId="1" shapeId="0">
      <text>
        <r>
          <rPr>
            <b/>
            <sz val="11"/>
            <color indexed="81"/>
            <rFont val="Tahoma"/>
            <family val="2"/>
          </rPr>
          <t>Asa Akers:</t>
        </r>
        <r>
          <rPr>
            <sz val="11"/>
            <color indexed="81"/>
            <rFont val="Tahoma"/>
            <family val="2"/>
          </rPr>
          <t xml:space="preserve">
Conversation about changes to boom height - Hongyan, Ben, Susan, Stephen Craft (Req).  
Process for this conversation isn't fixed.  Need to formalize when this occurs - ask Ben and Susan…Forest (making process to determine canopy height).  I will kick off conversations</t>
        </r>
      </text>
    </comment>
    <comment ref="EA3" authorId="1" shapeId="0">
      <text>
        <r>
          <rPr>
            <b/>
            <sz val="11"/>
            <color indexed="81"/>
            <rFont val="Tahoma"/>
            <family val="2"/>
          </rPr>
          <t>Asa Akers:</t>
        </r>
        <r>
          <rPr>
            <sz val="11"/>
            <color indexed="81"/>
            <rFont val="Tahoma"/>
            <family val="2"/>
          </rPr>
          <t xml:space="preserve">
Conversation about changes to boom height - Hongyan, Ben, Susan, Stephen Craft (Req).  
Process for this conversation isn't fixed.  Need to formalize when this occurs - ask Ben and Susan…Forest (making process to determine canopy height).  I will kick off conversations</t>
        </r>
      </text>
    </comment>
    <comment ref="BO5" authorId="1" shapeId="0">
      <text>
        <r>
          <rPr>
            <b/>
            <sz val="11"/>
            <color indexed="81"/>
            <rFont val="Tahoma"/>
            <family val="2"/>
          </rPr>
          <t>Asa Akers:</t>
        </r>
        <r>
          <rPr>
            <sz val="11"/>
            <color indexed="81"/>
            <rFont val="Tahoma"/>
            <family val="2"/>
          </rPr>
          <t xml:space="preserve">
Comm box was installed here per tower dwg</t>
        </r>
      </text>
    </comment>
    <comment ref="BO6" authorId="1" shapeId="0">
      <text>
        <r>
          <rPr>
            <b/>
            <sz val="11"/>
            <color indexed="81"/>
            <rFont val="Tahoma"/>
            <family val="2"/>
          </rPr>
          <t>Asa Akers:</t>
        </r>
        <r>
          <rPr>
            <sz val="11"/>
            <color indexed="81"/>
            <rFont val="Tahoma"/>
            <family val="2"/>
          </rPr>
          <t xml:space="preserve">
Boom will likely be bumped</t>
        </r>
      </text>
    </comment>
    <comment ref="BP6" authorId="1" shapeId="0">
      <text>
        <r>
          <rPr>
            <b/>
            <sz val="11"/>
            <color indexed="81"/>
            <rFont val="Tahoma"/>
            <family val="2"/>
          </rPr>
          <t>Asa Akers:</t>
        </r>
        <r>
          <rPr>
            <sz val="11"/>
            <color indexed="81"/>
            <rFont val="Tahoma"/>
            <family val="2"/>
          </rPr>
          <t xml:space="preserve">
Boom will likely get bumped</t>
        </r>
      </text>
    </comment>
    <comment ref="A7" authorId="1" shapeId="0">
      <text>
        <r>
          <rPr>
            <b/>
            <sz val="11"/>
            <color indexed="81"/>
            <rFont val="Tahoma"/>
            <family val="2"/>
          </rPr>
          <t>Asa Akers:</t>
        </r>
        <r>
          <rPr>
            <sz val="11"/>
            <color indexed="81"/>
            <rFont val="Tahoma"/>
            <family val="2"/>
          </rPr>
          <t xml:space="preserve">
SCR Heights:
0.2
5.0
15.0
28.0
42.0
60.0
Changes due to Canopy height 10/3/14:
0.2
5.0
20.0
28.0
42.0
60.0</t>
        </r>
      </text>
    </comment>
    <comment ref="I7" authorId="2" shapeId="0">
      <text>
        <r>
          <rPr>
            <b/>
            <sz val="9"/>
            <color indexed="81"/>
            <rFont val="Tahoma"/>
            <family val="2"/>
          </rPr>
          <t>Administrator:</t>
        </r>
        <r>
          <rPr>
            <sz val="9"/>
            <color indexed="81"/>
            <rFont val="Tahoma"/>
            <family val="2"/>
          </rPr>
          <t xml:space="preserve">
Changed due to new canopy height 10.3.14</t>
        </r>
      </text>
    </comment>
    <comment ref="J7" authorId="2" shapeId="0">
      <text>
        <r>
          <rPr>
            <b/>
            <sz val="9"/>
            <color indexed="81"/>
            <rFont val="Tahoma"/>
            <family val="2"/>
          </rPr>
          <t>Administrator:</t>
        </r>
        <r>
          <rPr>
            <sz val="9"/>
            <color indexed="81"/>
            <rFont val="Tahoma"/>
            <family val="2"/>
          </rPr>
          <t xml:space="preserve">
Changed due to new canopy height 10.3.14</t>
        </r>
      </text>
    </comment>
    <comment ref="BT7" authorId="2" shapeId="0">
      <text>
        <r>
          <rPr>
            <b/>
            <sz val="9"/>
            <color indexed="81"/>
            <rFont val="Tahoma"/>
            <family val="2"/>
          </rPr>
          <t>Administrator:</t>
        </r>
        <r>
          <rPr>
            <sz val="9"/>
            <color indexed="81"/>
            <rFont val="Tahoma"/>
            <family val="2"/>
          </rPr>
          <t xml:space="preserve">
Comm box moved up to accommodate possible boom move.</t>
        </r>
      </text>
    </comment>
    <comment ref="L9" authorId="0" shapeId="0">
      <text>
        <r>
          <rPr>
            <b/>
            <sz val="9"/>
            <color indexed="81"/>
            <rFont val="Tahoma"/>
            <family val="2"/>
          </rPr>
          <t>Values updated to reflect requirements</t>
        </r>
      </text>
    </comment>
    <comment ref="L11" authorId="0" shapeId="0">
      <text>
        <r>
          <rPr>
            <b/>
            <sz val="9"/>
            <color indexed="81"/>
            <rFont val="Tahoma"/>
            <family val="2"/>
          </rPr>
          <t>Values updated to reflect requirements</t>
        </r>
      </text>
    </comment>
    <comment ref="BT14" authorId="1" shapeId="0">
      <text>
        <r>
          <rPr>
            <b/>
            <sz val="11"/>
            <color indexed="81"/>
            <rFont val="Tahoma"/>
            <family val="2"/>
          </rPr>
          <t>Asa Akers:</t>
        </r>
        <r>
          <rPr>
            <sz val="11"/>
            <color indexed="81"/>
            <rFont val="Tahoma"/>
            <family val="2"/>
          </rPr>
          <t xml:space="preserve">
Demand is 0, ML4 bumped up per Ben</t>
        </r>
      </text>
    </comment>
    <comment ref="BU14" authorId="1" shapeId="0">
      <text>
        <r>
          <rPr>
            <b/>
            <sz val="11"/>
            <color indexed="81"/>
            <rFont val="Tahoma"/>
            <family val="2"/>
          </rPr>
          <t>Asa Akers:</t>
        </r>
        <r>
          <rPr>
            <sz val="11"/>
            <color indexed="81"/>
            <rFont val="Tahoma"/>
            <family val="2"/>
          </rPr>
          <t xml:space="preserve">
Demand stays 1, but ML4 is here instead of ML5.</t>
        </r>
      </text>
    </comment>
    <comment ref="BV14" authorId="1" shapeId="0">
      <text>
        <r>
          <rPr>
            <b/>
            <sz val="11"/>
            <color indexed="81"/>
            <rFont val="Tahoma"/>
            <family val="2"/>
          </rPr>
          <t>Asa Akers:</t>
        </r>
        <r>
          <rPr>
            <sz val="11"/>
            <color indexed="81"/>
            <rFont val="Tahoma"/>
            <family val="2"/>
          </rPr>
          <t xml:space="preserve">
Now is demand - bumped up from seciton 9.</t>
        </r>
      </text>
    </comment>
    <comment ref="B15" authorId="1" shapeId="0">
      <text>
        <r>
          <rPr>
            <b/>
            <sz val="11"/>
            <color indexed="81"/>
            <rFont val="Tahoma"/>
            <family val="2"/>
          </rPr>
          <t>Asa Akers:</t>
        </r>
        <r>
          <rPr>
            <sz val="11"/>
            <color indexed="81"/>
            <rFont val="Tahoma"/>
            <family val="2"/>
          </rPr>
          <t xml:space="preserve">
SCR heights (x5)
0.3
4.0
7.0
10.0
13.0
August 2014 Hongyan proposed heights (x6)
0.3
4.0
8.5
13.0
17.0
21.0</t>
        </r>
      </text>
    </comment>
    <comment ref="BQ16" authorId="1" shapeId="0">
      <text>
        <r>
          <rPr>
            <b/>
            <sz val="11"/>
            <color indexed="81"/>
            <rFont val="Tahoma"/>
            <family val="2"/>
          </rPr>
          <t>Asa Akers:</t>
        </r>
        <r>
          <rPr>
            <sz val="11"/>
            <color indexed="81"/>
            <rFont val="Tahoma"/>
            <family val="2"/>
          </rPr>
          <t xml:space="preserve">
ML3 potentially pushed up</t>
        </r>
      </text>
    </comment>
    <comment ref="BV16" authorId="1" shapeId="0">
      <text>
        <r>
          <rPr>
            <b/>
            <sz val="11"/>
            <color indexed="81"/>
            <rFont val="Tahoma"/>
            <family val="2"/>
          </rPr>
          <t>Asa Akers:</t>
        </r>
        <r>
          <rPr>
            <sz val="11"/>
            <color indexed="81"/>
            <rFont val="Tahoma"/>
            <family val="2"/>
          </rPr>
          <t xml:space="preserve">
ML5 potentially pushed up</t>
        </r>
      </text>
    </comment>
    <comment ref="BU18" authorId="2" shapeId="0">
      <text>
        <r>
          <rPr>
            <b/>
            <sz val="9"/>
            <color indexed="81"/>
            <rFont val="Tahoma"/>
            <family val="2"/>
          </rPr>
          <t>Ben Duvall:
ML5 is being bumped up to tower section 8
9.10.14</t>
        </r>
      </text>
    </comment>
    <comment ref="BW24" authorId="1" shapeId="0">
      <text>
        <r>
          <rPr>
            <b/>
            <sz val="11"/>
            <color indexed="81"/>
            <rFont val="Tahoma"/>
            <family val="2"/>
          </rPr>
          <t>Asa Akers:</t>
        </r>
        <r>
          <rPr>
            <sz val="11"/>
            <color indexed="81"/>
            <rFont val="Tahoma"/>
            <family val="2"/>
          </rPr>
          <t xml:space="preserve">
Swapped with section 11 per tower dwg</t>
        </r>
      </text>
    </comment>
    <comment ref="BX24" authorId="1" shapeId="0">
      <text>
        <r>
          <rPr>
            <b/>
            <sz val="11"/>
            <color indexed="81"/>
            <rFont val="Tahoma"/>
            <family val="2"/>
          </rPr>
          <t>Asa Akers:</t>
        </r>
        <r>
          <rPr>
            <sz val="11"/>
            <color indexed="81"/>
            <rFont val="Tahoma"/>
            <family val="2"/>
          </rPr>
          <t xml:space="preserve">
Swapped with section 10 per tower dwg</t>
        </r>
      </text>
    </comment>
    <comment ref="J29" authorId="0" shapeId="0">
      <text>
        <r>
          <rPr>
            <b/>
            <sz val="9"/>
            <color indexed="81"/>
            <rFont val="Tahoma"/>
            <family val="2"/>
          </rPr>
          <t>Values updated to reflect requirements</t>
        </r>
      </text>
    </comment>
    <comment ref="J30" authorId="0" shapeId="0">
      <text>
        <r>
          <rPr>
            <b/>
            <sz val="9"/>
            <color indexed="81"/>
            <rFont val="Tahoma"/>
            <family val="2"/>
          </rPr>
          <t>Values updated to reflect requirements</t>
        </r>
      </text>
    </comment>
    <comment ref="K31" authorId="0" shapeId="0">
      <text>
        <r>
          <rPr>
            <b/>
            <sz val="9"/>
            <color indexed="81"/>
            <rFont val="Tahoma"/>
            <family val="2"/>
          </rPr>
          <t>Values updated to reflect requirements</t>
        </r>
      </text>
    </comment>
    <comment ref="BQ32" authorId="2" shapeId="0">
      <text>
        <r>
          <rPr>
            <b/>
            <sz val="9"/>
            <color indexed="81"/>
            <rFont val="Tahoma"/>
            <family val="2"/>
          </rPr>
          <t>Ben Duvall:</t>
        </r>
        <r>
          <rPr>
            <sz val="9"/>
            <color indexed="81"/>
            <rFont val="Tahoma"/>
            <family val="2"/>
          </rPr>
          <t xml:space="preserve">
Measurement level moved up to tower section 4
9/10/14</t>
        </r>
      </text>
    </comment>
    <comment ref="Q40" authorId="3" shapeId="0">
      <text>
        <r>
          <rPr>
            <b/>
            <sz val="9"/>
            <color indexed="81"/>
            <rFont val="Tahoma"/>
            <charset val="1"/>
          </rPr>
          <t>Stephen Craft:</t>
        </r>
        <r>
          <rPr>
            <sz val="9"/>
            <color indexed="81"/>
            <rFont val="Tahoma"/>
            <charset val="1"/>
          </rPr>
          <t xml:space="preserve">
Non-standard tower. Each section is 19'. The tower itself is 230' 9', the tower/top-platform interface is 2', and the tower platform is 4'.</t>
        </r>
      </text>
    </comment>
    <comment ref="B41" authorId="1" shapeId="0">
      <text>
        <r>
          <rPr>
            <b/>
            <sz val="11"/>
            <color indexed="81"/>
            <rFont val="Tahoma"/>
            <family val="2"/>
          </rPr>
          <t>Asa Akers:</t>
        </r>
        <r>
          <rPr>
            <sz val="11"/>
            <color indexed="81"/>
            <rFont val="Tahoma"/>
            <family val="2"/>
          </rPr>
          <t xml:space="preserve">
SCR heights (x4)
0.3
3.0
6.0
8.0
June 2014 Hongyan proposed heights (x6)
0.3
3.0
8.0
12.0
18.0</t>
        </r>
      </text>
    </comment>
  </commentList>
</comments>
</file>

<file path=xl/comments4.xml><?xml version="1.0" encoding="utf-8"?>
<comments xmlns="http://schemas.openxmlformats.org/spreadsheetml/2006/main">
  <authors>
    <author>Asa Akers</author>
  </authors>
  <commentList>
    <comment ref="E4" authorId="0" shapeId="0">
      <text>
        <r>
          <rPr>
            <b/>
            <sz val="11"/>
            <color indexed="81"/>
            <rFont val="Tahoma"/>
            <family val="2"/>
          </rPr>
          <t>Asa Akers:</t>
        </r>
        <r>
          <rPr>
            <sz val="11"/>
            <color indexed="81"/>
            <rFont val="Tahoma"/>
            <family val="2"/>
          </rPr>
          <t xml:space="preserve">
Ben says this is "Probably OK"</t>
        </r>
      </text>
    </comment>
    <comment ref="E5" authorId="0" shapeId="0">
      <text>
        <r>
          <rPr>
            <b/>
            <sz val="11"/>
            <color indexed="81"/>
            <rFont val="Tahoma"/>
            <family val="2"/>
          </rPr>
          <t>Asa Akers:</t>
        </r>
        <r>
          <rPr>
            <sz val="11"/>
            <color indexed="81"/>
            <rFont val="Tahoma"/>
            <family val="2"/>
          </rPr>
          <t xml:space="preserve">
Ben says this is "Probably OK"</t>
        </r>
      </text>
    </comment>
    <comment ref="E6" authorId="0" shapeId="0">
      <text>
        <r>
          <rPr>
            <b/>
            <sz val="11"/>
            <color indexed="81"/>
            <rFont val="Tahoma"/>
            <family val="2"/>
          </rPr>
          <t>Asa Akers:</t>
        </r>
        <r>
          <rPr>
            <sz val="11"/>
            <color indexed="81"/>
            <rFont val="Tahoma"/>
            <family val="2"/>
          </rPr>
          <t xml:space="preserve">
Ben says this is "Probably OK"</t>
        </r>
      </text>
    </comment>
    <comment ref="E7" authorId="0" shapeId="0">
      <text>
        <r>
          <rPr>
            <b/>
            <sz val="11"/>
            <color indexed="81"/>
            <rFont val="Tahoma"/>
            <family val="2"/>
          </rPr>
          <t>Asa Akers:</t>
        </r>
        <r>
          <rPr>
            <sz val="11"/>
            <color indexed="81"/>
            <rFont val="Tahoma"/>
            <family val="2"/>
          </rPr>
          <t xml:space="preserve">
Ben says this is "Probably OK"</t>
        </r>
      </text>
    </comment>
    <comment ref="E8" authorId="0" shapeId="0">
      <text>
        <r>
          <rPr>
            <b/>
            <sz val="11"/>
            <color indexed="81"/>
            <rFont val="Tahoma"/>
            <family val="2"/>
          </rPr>
          <t>Asa Akers:</t>
        </r>
        <r>
          <rPr>
            <sz val="11"/>
            <color indexed="81"/>
            <rFont val="Tahoma"/>
            <family val="2"/>
          </rPr>
          <t xml:space="preserve">
Ben says this is "Probably OK"</t>
        </r>
      </text>
    </comment>
    <comment ref="E9" authorId="0" shapeId="0">
      <text>
        <r>
          <rPr>
            <b/>
            <sz val="11"/>
            <color indexed="81"/>
            <rFont val="Tahoma"/>
            <family val="2"/>
          </rPr>
          <t>Asa Akers:</t>
        </r>
        <r>
          <rPr>
            <sz val="11"/>
            <color indexed="81"/>
            <rFont val="Tahoma"/>
            <family val="2"/>
          </rPr>
          <t xml:space="preserve">
Ben says this is "Probably OK"</t>
        </r>
      </text>
    </comment>
    <comment ref="E10" authorId="0" shapeId="0">
      <text>
        <r>
          <rPr>
            <b/>
            <sz val="11"/>
            <color indexed="81"/>
            <rFont val="Tahoma"/>
            <family val="2"/>
          </rPr>
          <t>Asa Akers:</t>
        </r>
        <r>
          <rPr>
            <sz val="11"/>
            <color indexed="81"/>
            <rFont val="Tahoma"/>
            <family val="2"/>
          </rPr>
          <t xml:space="preserve">
Ben says this is "Probably OK"</t>
        </r>
      </text>
    </comment>
    <comment ref="E11" authorId="0" shapeId="0">
      <text>
        <r>
          <rPr>
            <b/>
            <sz val="11"/>
            <color indexed="81"/>
            <rFont val="Tahoma"/>
            <family val="2"/>
          </rPr>
          <t>Asa Akers:</t>
        </r>
        <r>
          <rPr>
            <sz val="11"/>
            <color indexed="81"/>
            <rFont val="Tahoma"/>
            <family val="2"/>
          </rPr>
          <t xml:space="preserve">
Ben says this is "Probably OK"</t>
        </r>
      </text>
    </comment>
    <comment ref="E12" authorId="0" shapeId="0">
      <text>
        <r>
          <rPr>
            <b/>
            <sz val="11"/>
            <color indexed="81"/>
            <rFont val="Tahoma"/>
            <family val="2"/>
          </rPr>
          <t>Asa Akers:</t>
        </r>
        <r>
          <rPr>
            <sz val="11"/>
            <color indexed="81"/>
            <rFont val="Tahoma"/>
            <family val="2"/>
          </rPr>
          <t xml:space="preserve">
Ben says this is "Probably OK"</t>
        </r>
      </text>
    </comment>
    <comment ref="E13" authorId="0" shapeId="0">
      <text>
        <r>
          <rPr>
            <b/>
            <sz val="11"/>
            <color indexed="81"/>
            <rFont val="Tahoma"/>
            <family val="2"/>
          </rPr>
          <t>Asa Akers:</t>
        </r>
        <r>
          <rPr>
            <sz val="11"/>
            <color indexed="81"/>
            <rFont val="Tahoma"/>
            <family val="2"/>
          </rPr>
          <t xml:space="preserve">
Ben says this is "Probably OK"</t>
        </r>
      </text>
    </comment>
    <comment ref="E14" authorId="0" shapeId="0">
      <text>
        <r>
          <rPr>
            <b/>
            <sz val="11"/>
            <color indexed="81"/>
            <rFont val="Tahoma"/>
            <family val="2"/>
          </rPr>
          <t>Asa Akers:</t>
        </r>
        <r>
          <rPr>
            <sz val="11"/>
            <color indexed="81"/>
            <rFont val="Tahoma"/>
            <family val="2"/>
          </rPr>
          <t xml:space="preserve">
Ben says this is "Probably OK"</t>
        </r>
      </text>
    </comment>
    <comment ref="E15" authorId="0" shapeId="0">
      <text>
        <r>
          <rPr>
            <b/>
            <sz val="11"/>
            <color indexed="81"/>
            <rFont val="Tahoma"/>
            <family val="2"/>
          </rPr>
          <t>Asa Akers:</t>
        </r>
        <r>
          <rPr>
            <sz val="11"/>
            <color indexed="81"/>
            <rFont val="Tahoma"/>
            <family val="2"/>
          </rPr>
          <t xml:space="preserve">
Ben says this is "Probably OK"</t>
        </r>
      </text>
    </comment>
    <comment ref="E16" authorId="0" shapeId="0">
      <text>
        <r>
          <rPr>
            <b/>
            <sz val="11"/>
            <color indexed="81"/>
            <rFont val="Tahoma"/>
            <family val="2"/>
          </rPr>
          <t>Asa Akers:</t>
        </r>
        <r>
          <rPr>
            <sz val="11"/>
            <color indexed="81"/>
            <rFont val="Tahoma"/>
            <family val="2"/>
          </rPr>
          <t xml:space="preserve">
Ben says this is "Probably OK"</t>
        </r>
      </text>
    </comment>
    <comment ref="E17" authorId="0" shapeId="0">
      <text>
        <r>
          <rPr>
            <b/>
            <sz val="11"/>
            <color indexed="81"/>
            <rFont val="Tahoma"/>
            <family val="2"/>
          </rPr>
          <t>Asa Akers:</t>
        </r>
        <r>
          <rPr>
            <sz val="11"/>
            <color indexed="81"/>
            <rFont val="Tahoma"/>
            <family val="2"/>
          </rPr>
          <t xml:space="preserve">
Ben says this is "Probably OK"</t>
        </r>
      </text>
    </comment>
    <comment ref="E18" authorId="0" shapeId="0">
      <text>
        <r>
          <rPr>
            <b/>
            <sz val="11"/>
            <color indexed="81"/>
            <rFont val="Tahoma"/>
            <family val="2"/>
          </rPr>
          <t>Asa Akers:</t>
        </r>
        <r>
          <rPr>
            <sz val="11"/>
            <color indexed="81"/>
            <rFont val="Tahoma"/>
            <family val="2"/>
          </rPr>
          <t xml:space="preserve">
Ben says this is "Probably OK"</t>
        </r>
      </text>
    </comment>
    <comment ref="E19" authorId="0" shapeId="0">
      <text>
        <r>
          <rPr>
            <b/>
            <sz val="11"/>
            <color indexed="81"/>
            <rFont val="Tahoma"/>
            <family val="2"/>
          </rPr>
          <t>Asa Akers:</t>
        </r>
        <r>
          <rPr>
            <sz val="11"/>
            <color indexed="81"/>
            <rFont val="Tahoma"/>
            <family val="2"/>
          </rPr>
          <t xml:space="preserve">
Ben says this is "Probably OK"</t>
        </r>
      </text>
    </comment>
    <comment ref="E20" authorId="0" shapeId="0">
      <text>
        <r>
          <rPr>
            <b/>
            <sz val="11"/>
            <color indexed="81"/>
            <rFont val="Tahoma"/>
            <family val="2"/>
          </rPr>
          <t>Asa Akers:</t>
        </r>
        <r>
          <rPr>
            <sz val="11"/>
            <color indexed="81"/>
            <rFont val="Tahoma"/>
            <family val="2"/>
          </rPr>
          <t xml:space="preserve">
Ben says this is "Probably OK"</t>
        </r>
      </text>
    </comment>
    <comment ref="E21" authorId="0" shapeId="0">
      <text>
        <r>
          <rPr>
            <b/>
            <sz val="11"/>
            <color indexed="81"/>
            <rFont val="Tahoma"/>
            <family val="2"/>
          </rPr>
          <t>Asa Akers:</t>
        </r>
        <r>
          <rPr>
            <sz val="11"/>
            <color indexed="81"/>
            <rFont val="Tahoma"/>
            <family val="2"/>
          </rPr>
          <t xml:space="preserve">
Ben says this is "Probably OK"</t>
        </r>
      </text>
    </comment>
    <comment ref="E22" authorId="0" shapeId="0">
      <text>
        <r>
          <rPr>
            <b/>
            <sz val="11"/>
            <color indexed="81"/>
            <rFont val="Tahoma"/>
            <family val="2"/>
          </rPr>
          <t>Asa Akers:</t>
        </r>
        <r>
          <rPr>
            <sz val="11"/>
            <color indexed="81"/>
            <rFont val="Tahoma"/>
            <family val="2"/>
          </rPr>
          <t xml:space="preserve">
Ben says this is "Probably OK"</t>
        </r>
      </text>
    </comment>
    <comment ref="E23" authorId="0" shapeId="0">
      <text>
        <r>
          <rPr>
            <b/>
            <sz val="11"/>
            <color indexed="81"/>
            <rFont val="Tahoma"/>
            <family val="2"/>
          </rPr>
          <t>Asa Akers:</t>
        </r>
        <r>
          <rPr>
            <sz val="11"/>
            <color indexed="81"/>
            <rFont val="Tahoma"/>
            <family val="2"/>
          </rPr>
          <t xml:space="preserve">
Ben says this is "Probably OK"</t>
        </r>
      </text>
    </comment>
    <comment ref="E24" authorId="0" shapeId="0">
      <text>
        <r>
          <rPr>
            <b/>
            <sz val="11"/>
            <color indexed="81"/>
            <rFont val="Tahoma"/>
            <family val="2"/>
          </rPr>
          <t>Asa Akers:</t>
        </r>
        <r>
          <rPr>
            <sz val="11"/>
            <color indexed="81"/>
            <rFont val="Tahoma"/>
            <family val="2"/>
          </rPr>
          <t xml:space="preserve">
Ben says this is "Probably OK"</t>
        </r>
      </text>
    </comment>
    <comment ref="E25" authorId="0" shapeId="0">
      <text>
        <r>
          <rPr>
            <b/>
            <sz val="11"/>
            <color indexed="81"/>
            <rFont val="Tahoma"/>
            <family val="2"/>
          </rPr>
          <t>Asa Akers:</t>
        </r>
        <r>
          <rPr>
            <sz val="11"/>
            <color indexed="81"/>
            <rFont val="Tahoma"/>
            <family val="2"/>
          </rPr>
          <t xml:space="preserve">
Ben says this is "Probably OK"</t>
        </r>
      </text>
    </comment>
    <comment ref="E26" authorId="0" shapeId="0">
      <text>
        <r>
          <rPr>
            <b/>
            <sz val="11"/>
            <color indexed="81"/>
            <rFont val="Tahoma"/>
            <family val="2"/>
          </rPr>
          <t>Asa Akers:</t>
        </r>
        <r>
          <rPr>
            <sz val="11"/>
            <color indexed="81"/>
            <rFont val="Tahoma"/>
            <family val="2"/>
          </rPr>
          <t xml:space="preserve">
Ben says this is "Probably OK"</t>
        </r>
      </text>
    </comment>
    <comment ref="E27" authorId="0" shapeId="0">
      <text>
        <r>
          <rPr>
            <b/>
            <sz val="11"/>
            <color indexed="81"/>
            <rFont val="Tahoma"/>
            <family val="2"/>
          </rPr>
          <t>Asa Akers:</t>
        </r>
        <r>
          <rPr>
            <sz val="11"/>
            <color indexed="81"/>
            <rFont val="Tahoma"/>
            <family val="2"/>
          </rPr>
          <t xml:space="preserve">
Ben says this is "Probably OK"</t>
        </r>
      </text>
    </comment>
    <comment ref="E28" authorId="0" shapeId="0">
      <text>
        <r>
          <rPr>
            <b/>
            <sz val="11"/>
            <color indexed="81"/>
            <rFont val="Tahoma"/>
            <family val="2"/>
          </rPr>
          <t>Asa Akers:</t>
        </r>
        <r>
          <rPr>
            <sz val="11"/>
            <color indexed="81"/>
            <rFont val="Tahoma"/>
            <family val="2"/>
          </rPr>
          <t xml:space="preserve">
Ben says this is "Probably OK"</t>
        </r>
      </text>
    </comment>
    <comment ref="E29" authorId="0" shapeId="0">
      <text>
        <r>
          <rPr>
            <b/>
            <sz val="11"/>
            <color indexed="81"/>
            <rFont val="Tahoma"/>
            <family val="2"/>
          </rPr>
          <t>Asa Akers:</t>
        </r>
        <r>
          <rPr>
            <sz val="11"/>
            <color indexed="81"/>
            <rFont val="Tahoma"/>
            <family val="2"/>
          </rPr>
          <t xml:space="preserve">
Ben says this is "Probably OK"</t>
        </r>
      </text>
    </comment>
    <comment ref="E30" authorId="0" shapeId="0">
      <text>
        <r>
          <rPr>
            <b/>
            <sz val="11"/>
            <color indexed="81"/>
            <rFont val="Tahoma"/>
            <family val="2"/>
          </rPr>
          <t>Asa Akers:</t>
        </r>
        <r>
          <rPr>
            <sz val="11"/>
            <color indexed="81"/>
            <rFont val="Tahoma"/>
            <family val="2"/>
          </rPr>
          <t xml:space="preserve">
Ben says this is "Probably OK"</t>
        </r>
      </text>
    </comment>
    <comment ref="E31" authorId="0" shapeId="0">
      <text>
        <r>
          <rPr>
            <b/>
            <sz val="11"/>
            <color indexed="81"/>
            <rFont val="Tahoma"/>
            <family val="2"/>
          </rPr>
          <t>Asa Akers:</t>
        </r>
        <r>
          <rPr>
            <sz val="11"/>
            <color indexed="81"/>
            <rFont val="Tahoma"/>
            <family val="2"/>
          </rPr>
          <t xml:space="preserve">
Ben says this is "Probably OK"</t>
        </r>
      </text>
    </comment>
    <comment ref="E32" authorId="0" shapeId="0">
      <text>
        <r>
          <rPr>
            <b/>
            <sz val="11"/>
            <color indexed="81"/>
            <rFont val="Tahoma"/>
            <family val="2"/>
          </rPr>
          <t>Asa Akers:</t>
        </r>
        <r>
          <rPr>
            <sz val="11"/>
            <color indexed="81"/>
            <rFont val="Tahoma"/>
            <family val="2"/>
          </rPr>
          <t xml:space="preserve">
Ben says this is "Probably OK"</t>
        </r>
      </text>
    </comment>
    <comment ref="E33" authorId="0" shapeId="0">
      <text>
        <r>
          <rPr>
            <b/>
            <sz val="11"/>
            <color indexed="81"/>
            <rFont val="Tahoma"/>
            <family val="2"/>
          </rPr>
          <t>Asa Akers:</t>
        </r>
        <r>
          <rPr>
            <sz val="11"/>
            <color indexed="81"/>
            <rFont val="Tahoma"/>
            <family val="2"/>
          </rPr>
          <t xml:space="preserve">
Ben says this is "Probably OK"</t>
        </r>
      </text>
    </comment>
    <comment ref="E34" authorId="0" shapeId="0">
      <text>
        <r>
          <rPr>
            <b/>
            <sz val="11"/>
            <color indexed="81"/>
            <rFont val="Tahoma"/>
            <family val="2"/>
          </rPr>
          <t>Asa Akers:</t>
        </r>
        <r>
          <rPr>
            <sz val="11"/>
            <color indexed="81"/>
            <rFont val="Tahoma"/>
            <family val="2"/>
          </rPr>
          <t xml:space="preserve">
Ben says this is "Probably OK"</t>
        </r>
      </text>
    </comment>
    <comment ref="D35" authorId="0" shapeId="0">
      <text>
        <r>
          <rPr>
            <b/>
            <sz val="11"/>
            <color indexed="81"/>
            <rFont val="Tahoma"/>
            <family val="2"/>
          </rPr>
          <t>Asa Akers:</t>
        </r>
        <r>
          <rPr>
            <sz val="11"/>
            <color indexed="81"/>
            <rFont val="Tahoma"/>
            <family val="2"/>
          </rPr>
          <t xml:space="preserve">
Layout not reviewed yet 3/11/14</t>
        </r>
      </text>
    </comment>
    <comment ref="E35" authorId="0" shapeId="0">
      <text>
        <r>
          <rPr>
            <b/>
            <sz val="11"/>
            <color indexed="81"/>
            <rFont val="Tahoma"/>
            <family val="2"/>
          </rPr>
          <t>Asa Akers:</t>
        </r>
        <r>
          <rPr>
            <sz val="11"/>
            <color indexed="81"/>
            <rFont val="Tahoma"/>
            <family val="2"/>
          </rPr>
          <t xml:space="preserve">
Ben says this is "Probably OK"</t>
        </r>
      </text>
    </comment>
    <comment ref="E36" authorId="0" shapeId="0">
      <text>
        <r>
          <rPr>
            <b/>
            <sz val="11"/>
            <color indexed="81"/>
            <rFont val="Tahoma"/>
            <family val="2"/>
          </rPr>
          <t>Asa Akers:</t>
        </r>
        <r>
          <rPr>
            <sz val="11"/>
            <color indexed="81"/>
            <rFont val="Tahoma"/>
            <family val="2"/>
          </rPr>
          <t xml:space="preserve">
Ben says this is "Probably OK"</t>
        </r>
      </text>
    </comment>
    <comment ref="E37" authorId="0" shapeId="0">
      <text>
        <r>
          <rPr>
            <b/>
            <sz val="11"/>
            <color indexed="81"/>
            <rFont val="Tahoma"/>
            <family val="2"/>
          </rPr>
          <t>Asa Akers:</t>
        </r>
        <r>
          <rPr>
            <sz val="11"/>
            <color indexed="81"/>
            <rFont val="Tahoma"/>
            <family val="2"/>
          </rPr>
          <t xml:space="preserve">
Ben says this is "Probably OK"</t>
        </r>
      </text>
    </comment>
    <comment ref="E38" authorId="0" shapeId="0">
      <text>
        <r>
          <rPr>
            <b/>
            <sz val="11"/>
            <color indexed="81"/>
            <rFont val="Tahoma"/>
            <family val="2"/>
          </rPr>
          <t>Asa Akers:</t>
        </r>
        <r>
          <rPr>
            <sz val="11"/>
            <color indexed="81"/>
            <rFont val="Tahoma"/>
            <family val="2"/>
          </rPr>
          <t xml:space="preserve">
Ben says this is "Probably OK"</t>
        </r>
      </text>
    </comment>
    <comment ref="E39" authorId="0" shapeId="0">
      <text>
        <r>
          <rPr>
            <b/>
            <sz val="11"/>
            <color indexed="81"/>
            <rFont val="Tahoma"/>
            <family val="2"/>
          </rPr>
          <t>Asa Akers:</t>
        </r>
        <r>
          <rPr>
            <sz val="11"/>
            <color indexed="81"/>
            <rFont val="Tahoma"/>
            <family val="2"/>
          </rPr>
          <t xml:space="preserve">
Ben says this is "Probably OK"</t>
        </r>
      </text>
    </comment>
    <comment ref="D40" authorId="0" shapeId="0">
      <text>
        <r>
          <rPr>
            <b/>
            <sz val="11"/>
            <color indexed="81"/>
            <rFont val="Tahoma"/>
            <family val="2"/>
          </rPr>
          <t>Asa Akers:</t>
        </r>
        <r>
          <rPr>
            <sz val="11"/>
            <color indexed="81"/>
            <rFont val="Tahoma"/>
            <family val="2"/>
          </rPr>
          <t xml:space="preserve">
Layout not reviewed yet 3/11/14</t>
        </r>
      </text>
    </comment>
    <comment ref="E40" authorId="0" shapeId="0">
      <text>
        <r>
          <rPr>
            <b/>
            <sz val="11"/>
            <color indexed="81"/>
            <rFont val="Tahoma"/>
            <family val="2"/>
          </rPr>
          <t>Asa Akers:</t>
        </r>
        <r>
          <rPr>
            <sz val="11"/>
            <color indexed="81"/>
            <rFont val="Tahoma"/>
            <family val="2"/>
          </rPr>
          <t xml:space="preserve">
Ben says this is "Probably OK"</t>
        </r>
      </text>
    </comment>
    <comment ref="E41" authorId="0" shapeId="0">
      <text>
        <r>
          <rPr>
            <b/>
            <sz val="11"/>
            <color indexed="81"/>
            <rFont val="Tahoma"/>
            <family val="2"/>
          </rPr>
          <t>Asa Akers:</t>
        </r>
        <r>
          <rPr>
            <sz val="11"/>
            <color indexed="81"/>
            <rFont val="Tahoma"/>
            <family val="2"/>
          </rPr>
          <t xml:space="preserve">
Ben says this is "Probably OK"</t>
        </r>
      </text>
    </comment>
    <comment ref="E42" authorId="0" shapeId="0">
      <text>
        <r>
          <rPr>
            <b/>
            <sz val="11"/>
            <color indexed="81"/>
            <rFont val="Tahoma"/>
            <family val="2"/>
          </rPr>
          <t>Asa Akers:</t>
        </r>
        <r>
          <rPr>
            <sz val="11"/>
            <color indexed="81"/>
            <rFont val="Tahoma"/>
            <family val="2"/>
          </rPr>
          <t xml:space="preserve">
Ben says this is "Probably OK"</t>
        </r>
      </text>
    </comment>
    <comment ref="E43" authorId="0" shapeId="0">
      <text>
        <r>
          <rPr>
            <b/>
            <sz val="11"/>
            <color indexed="81"/>
            <rFont val="Tahoma"/>
            <family val="2"/>
          </rPr>
          <t>Asa Akers:</t>
        </r>
        <r>
          <rPr>
            <sz val="11"/>
            <color indexed="81"/>
            <rFont val="Tahoma"/>
            <family val="2"/>
          </rPr>
          <t xml:space="preserve">
Ben says this is "Probably OK"</t>
        </r>
      </text>
    </comment>
    <comment ref="E44" authorId="0" shapeId="0">
      <text>
        <r>
          <rPr>
            <b/>
            <sz val="11"/>
            <color indexed="81"/>
            <rFont val="Tahoma"/>
            <family val="2"/>
          </rPr>
          <t>Asa Akers:</t>
        </r>
        <r>
          <rPr>
            <sz val="11"/>
            <color indexed="81"/>
            <rFont val="Tahoma"/>
            <family val="2"/>
          </rPr>
          <t xml:space="preserve">
Ben says this is "Probably OK"</t>
        </r>
      </text>
    </comment>
    <comment ref="E45" authorId="0" shapeId="0">
      <text>
        <r>
          <rPr>
            <b/>
            <sz val="11"/>
            <color indexed="81"/>
            <rFont val="Tahoma"/>
            <family val="2"/>
          </rPr>
          <t>Asa Akers:</t>
        </r>
        <r>
          <rPr>
            <sz val="11"/>
            <color indexed="81"/>
            <rFont val="Tahoma"/>
            <family val="2"/>
          </rPr>
          <t xml:space="preserve">
Ben says this is "Probably OK"</t>
        </r>
      </text>
    </comment>
    <comment ref="E46" authorId="0" shapeId="0">
      <text>
        <r>
          <rPr>
            <b/>
            <sz val="11"/>
            <color indexed="81"/>
            <rFont val="Tahoma"/>
            <family val="2"/>
          </rPr>
          <t>Asa Akers:</t>
        </r>
        <r>
          <rPr>
            <sz val="11"/>
            <color indexed="81"/>
            <rFont val="Tahoma"/>
            <family val="2"/>
          </rPr>
          <t xml:space="preserve">
Ben says this is "Probably OK"</t>
        </r>
      </text>
    </comment>
    <comment ref="E47" authorId="0" shapeId="0">
      <text>
        <r>
          <rPr>
            <b/>
            <sz val="11"/>
            <color indexed="81"/>
            <rFont val="Tahoma"/>
            <family val="2"/>
          </rPr>
          <t>Asa Akers:</t>
        </r>
        <r>
          <rPr>
            <sz val="11"/>
            <color indexed="81"/>
            <rFont val="Tahoma"/>
            <family val="2"/>
          </rPr>
          <t xml:space="preserve">
Ben says this is "Probably OK"</t>
        </r>
      </text>
    </comment>
    <comment ref="E48" authorId="0" shapeId="0">
      <text>
        <r>
          <rPr>
            <b/>
            <sz val="11"/>
            <color indexed="81"/>
            <rFont val="Tahoma"/>
            <family val="2"/>
          </rPr>
          <t>Asa Akers:</t>
        </r>
        <r>
          <rPr>
            <sz val="11"/>
            <color indexed="81"/>
            <rFont val="Tahoma"/>
            <family val="2"/>
          </rPr>
          <t xml:space="preserve">
Ben says this is "Probably OK"</t>
        </r>
      </text>
    </comment>
    <comment ref="E49" authorId="0" shapeId="0">
      <text>
        <r>
          <rPr>
            <b/>
            <sz val="11"/>
            <color indexed="81"/>
            <rFont val="Tahoma"/>
            <family val="2"/>
          </rPr>
          <t>Asa Akers:</t>
        </r>
        <r>
          <rPr>
            <sz val="11"/>
            <color indexed="81"/>
            <rFont val="Tahoma"/>
            <family val="2"/>
          </rPr>
          <t xml:space="preserve">
Ben says this is "Probably OK"</t>
        </r>
      </text>
    </comment>
    <comment ref="E50" authorId="0" shapeId="0">
      <text>
        <r>
          <rPr>
            <b/>
            <sz val="11"/>
            <color indexed="81"/>
            <rFont val="Tahoma"/>
            <family val="2"/>
          </rPr>
          <t>Asa Akers:</t>
        </r>
        <r>
          <rPr>
            <sz val="11"/>
            <color indexed="81"/>
            <rFont val="Tahoma"/>
            <family val="2"/>
          </rPr>
          <t xml:space="preserve">
Ben says this is "Probably OK"</t>
        </r>
      </text>
    </comment>
    <comment ref="E51" authorId="0" shapeId="0">
      <text>
        <r>
          <rPr>
            <b/>
            <sz val="11"/>
            <color indexed="81"/>
            <rFont val="Tahoma"/>
            <family val="2"/>
          </rPr>
          <t>Asa Akers:</t>
        </r>
        <r>
          <rPr>
            <sz val="11"/>
            <color indexed="81"/>
            <rFont val="Tahoma"/>
            <family val="2"/>
          </rPr>
          <t xml:space="preserve">
Ben says this is "Probably OK"</t>
        </r>
      </text>
    </comment>
  </commentList>
</comments>
</file>

<file path=xl/comments5.xml><?xml version="1.0" encoding="utf-8"?>
<comments xmlns="http://schemas.openxmlformats.org/spreadsheetml/2006/main">
  <authors>
    <author>Asa Akers</author>
    <author>Stephen Craft</author>
  </authors>
  <commentList>
    <comment ref="AF4" authorId="0" shapeId="0">
      <text>
        <r>
          <rPr>
            <b/>
            <sz val="11"/>
            <color indexed="81"/>
            <rFont val="Tahoma"/>
            <family val="2"/>
          </rPr>
          <t>Asa Akers:</t>
        </r>
        <r>
          <rPr>
            <sz val="11"/>
            <color indexed="81"/>
            <rFont val="Tahoma"/>
            <family val="2"/>
          </rPr>
          <t xml:space="preserve">
Tower dwg shows ML above</t>
        </r>
      </text>
    </comment>
    <comment ref="AH4" authorId="0" shapeId="0">
      <text>
        <r>
          <rPr>
            <b/>
            <sz val="11"/>
            <color indexed="81"/>
            <rFont val="Tahoma"/>
            <family val="2"/>
          </rPr>
          <t>Asa Akers:</t>
        </r>
        <r>
          <rPr>
            <sz val="11"/>
            <color indexed="81"/>
            <rFont val="Tahoma"/>
            <family val="2"/>
          </rPr>
          <t xml:space="preserve">
Tower dwg shows ML above</t>
        </r>
      </text>
    </comment>
    <comment ref="N5" authorId="0" shapeId="0">
      <text>
        <r>
          <rPr>
            <b/>
            <sz val="11"/>
            <color indexed="81"/>
            <rFont val="Tahoma"/>
            <family val="2"/>
          </rPr>
          <t>Asa Akers:</t>
        </r>
        <r>
          <rPr>
            <sz val="11"/>
            <color indexed="81"/>
            <rFont val="Tahoma"/>
            <family val="2"/>
          </rPr>
          <t xml:space="preserve">
A "ML above Base" was installed per the dwg to provide and extra Comm box.  Demand stills hows what should have been based on actual need</t>
        </r>
      </text>
    </comment>
    <comment ref="Y5" authorId="0" shapeId="0">
      <text>
        <r>
          <rPr>
            <b/>
            <sz val="11"/>
            <color indexed="81"/>
            <rFont val="Tahoma"/>
            <family val="2"/>
          </rPr>
          <t>Asa Akers:</t>
        </r>
        <r>
          <rPr>
            <sz val="11"/>
            <color indexed="81"/>
            <rFont val="Tahoma"/>
            <family val="2"/>
          </rPr>
          <t xml:space="preserve">
Tower dwg shows ML above</t>
        </r>
      </text>
    </comment>
    <comment ref="AA5" authorId="0" shapeId="0">
      <text>
        <r>
          <rPr>
            <b/>
            <sz val="11"/>
            <color indexed="81"/>
            <rFont val="Tahoma"/>
            <family val="2"/>
          </rPr>
          <t>Asa Akers:</t>
        </r>
        <r>
          <rPr>
            <sz val="11"/>
            <color indexed="81"/>
            <rFont val="Tahoma"/>
            <family val="2"/>
          </rPr>
          <t xml:space="preserve">
Tower dwg shows ML above</t>
        </r>
      </text>
    </comment>
    <comment ref="O7" authorId="0" shapeId="0">
      <text>
        <r>
          <rPr>
            <b/>
            <sz val="11"/>
            <color indexed="81"/>
            <rFont val="Tahoma"/>
            <family val="2"/>
          </rPr>
          <t>Asa Akers:</t>
        </r>
        <r>
          <rPr>
            <sz val="11"/>
            <color indexed="81"/>
            <rFont val="Tahoma"/>
            <family val="2"/>
          </rPr>
          <t xml:space="preserve">
ML above may need to become PT above and Comm box demand increased</t>
        </r>
      </text>
    </comment>
    <comment ref="AC7" authorId="0" shapeId="0">
      <text>
        <r>
          <rPr>
            <b/>
            <sz val="11"/>
            <color indexed="81"/>
            <rFont val="Tahoma"/>
            <family val="2"/>
          </rPr>
          <t>Asa Akers:</t>
        </r>
        <r>
          <rPr>
            <sz val="11"/>
            <color indexed="81"/>
            <rFont val="Tahoma"/>
            <family val="2"/>
          </rPr>
          <t xml:space="preserve">
ML above may need to become PT above and Comm box demand increased</t>
        </r>
      </text>
    </comment>
    <comment ref="U8" authorId="0" shapeId="0">
      <text>
        <r>
          <rPr>
            <b/>
            <sz val="11"/>
            <color indexed="81"/>
            <rFont val="Tahoma"/>
            <family val="2"/>
          </rPr>
          <t>Asa Akers:</t>
        </r>
        <r>
          <rPr>
            <sz val="11"/>
            <color indexed="81"/>
            <rFont val="Tahoma"/>
            <family val="2"/>
          </rPr>
          <t xml:space="preserve">
100% had shown 3 MLs - redlined version w/ comments shows thie top on crossed out and only 2.</t>
        </r>
      </text>
    </comment>
    <comment ref="X8" authorId="0" shapeId="0">
      <text>
        <r>
          <rPr>
            <b/>
            <sz val="11"/>
            <color indexed="81"/>
            <rFont val="Tahoma"/>
            <family val="2"/>
          </rPr>
          <t>Asa Akers:</t>
        </r>
        <r>
          <rPr>
            <sz val="11"/>
            <color indexed="81"/>
            <rFont val="Tahoma"/>
            <family val="2"/>
          </rPr>
          <t xml:space="preserve">
Hongyan's CRE proposal not reflected here</t>
        </r>
      </text>
    </comment>
    <comment ref="O9" authorId="0" shapeId="0">
      <text>
        <r>
          <rPr>
            <b/>
            <sz val="11"/>
            <color indexed="81"/>
            <rFont val="Tahoma"/>
            <family val="2"/>
          </rPr>
          <t>Asa Akers:</t>
        </r>
        <r>
          <rPr>
            <sz val="11"/>
            <color indexed="81"/>
            <rFont val="Tahoma"/>
            <family val="2"/>
          </rPr>
          <t xml:space="preserve">
If Base becomes PT above, this will increase to 4.</t>
        </r>
      </text>
    </comment>
    <comment ref="Y9" authorId="0" shapeId="0">
      <text>
        <r>
          <rPr>
            <b/>
            <sz val="11"/>
            <color indexed="81"/>
            <rFont val="Tahoma"/>
            <family val="2"/>
          </rPr>
          <t>Asa Akers:</t>
        </r>
        <r>
          <rPr>
            <sz val="11"/>
            <color indexed="81"/>
            <rFont val="Tahoma"/>
            <family val="2"/>
          </rPr>
          <t xml:space="preserve">
Tower dwg has 4 ML and 4 PT</t>
        </r>
      </text>
    </comment>
    <comment ref="AC9" authorId="0" shapeId="0">
      <text>
        <r>
          <rPr>
            <b/>
            <sz val="11"/>
            <color indexed="81"/>
            <rFont val="Tahoma"/>
            <family val="2"/>
          </rPr>
          <t>Asa Akers:</t>
        </r>
        <r>
          <rPr>
            <sz val="11"/>
            <color indexed="81"/>
            <rFont val="Tahoma"/>
            <family val="2"/>
          </rPr>
          <t xml:space="preserve">
If Base becomes PT above, this will increase to 4.</t>
        </r>
      </text>
    </comment>
    <comment ref="AX10" authorId="0" shapeId="0">
      <text>
        <r>
          <rPr>
            <b/>
            <sz val="11"/>
            <color indexed="81"/>
            <rFont val="Tahoma"/>
            <family val="2"/>
          </rPr>
          <t>Asa Akers:</t>
        </r>
        <r>
          <rPr>
            <sz val="11"/>
            <color indexed="81"/>
            <rFont val="Tahoma"/>
            <family val="2"/>
          </rPr>
          <t xml:space="preserve">
Revised 90% dwgs show PDS ML that works with Hongyan's new request ans with ML2 getting pushed up to section 2</t>
        </r>
      </text>
    </comment>
    <comment ref="C39" authorId="0" shapeId="0">
      <text>
        <r>
          <rPr>
            <b/>
            <sz val="11"/>
            <color indexed="81"/>
            <rFont val="Tahoma"/>
            <family val="2"/>
          </rPr>
          <t>Asa Akers:</t>
        </r>
        <r>
          <rPr>
            <sz val="11"/>
            <color indexed="81"/>
            <rFont val="Tahoma"/>
            <family val="2"/>
          </rPr>
          <t xml:space="preserve">
Used as both Tower Short Arbor and as Soil Plot 3 Boom arbor.
Demand is:
1 for all sites (soil Plot 3)
+1 if Site is Split boom</t>
        </r>
      </text>
    </comment>
    <comment ref="BG87" authorId="0" shapeId="0">
      <text>
        <r>
          <rPr>
            <b/>
            <sz val="11"/>
            <color indexed="81"/>
            <rFont val="Tahoma"/>
            <family val="2"/>
          </rPr>
          <t>Asa Akers:</t>
        </r>
        <r>
          <rPr>
            <sz val="11"/>
            <color indexed="81"/>
            <rFont val="Tahoma"/>
            <family val="2"/>
          </rPr>
          <t xml:space="preserve">
CRE needed for this sensor?</t>
        </r>
      </text>
    </comment>
    <comment ref="C98" authorId="0" shapeId="0">
      <text>
        <r>
          <rPr>
            <b/>
            <sz val="11"/>
            <color indexed="81"/>
            <rFont val="Tahoma"/>
            <family val="2"/>
          </rPr>
          <t>Asa Akers:</t>
        </r>
        <r>
          <rPr>
            <sz val="11"/>
            <color indexed="81"/>
            <rFont val="Tahoma"/>
            <family val="2"/>
          </rPr>
          <t xml:space="preserve">
"above canopy" phenological camera
</t>
        </r>
      </text>
    </comment>
    <comment ref="C99" authorId="0" shapeId="0">
      <text>
        <r>
          <rPr>
            <b/>
            <sz val="11"/>
            <color indexed="81"/>
            <rFont val="Tahoma"/>
            <family val="2"/>
          </rPr>
          <t>Asa Akers:</t>
        </r>
        <r>
          <rPr>
            <sz val="11"/>
            <color indexed="81"/>
            <rFont val="Tahoma"/>
            <family val="2"/>
          </rPr>
          <t xml:space="preserve">
understory / ground-based pheneological and/or snow pack phenological camera(s)</t>
        </r>
      </text>
    </comment>
    <comment ref="C100" authorId="0" shapeId="0">
      <text>
        <r>
          <rPr>
            <b/>
            <sz val="11"/>
            <color indexed="81"/>
            <rFont val="Tahoma"/>
            <family val="2"/>
          </rPr>
          <t>Asa Akers:</t>
        </r>
        <r>
          <rPr>
            <sz val="11"/>
            <color indexed="81"/>
            <rFont val="Tahoma"/>
            <family val="2"/>
          </rPr>
          <t xml:space="preserve">
understory / ground-based pheneological and/or snow pack phenological camera(s)</t>
        </r>
      </text>
    </comment>
    <comment ref="AN109" authorId="0" shapeId="0">
      <text>
        <r>
          <rPr>
            <b/>
            <sz val="11"/>
            <color indexed="81"/>
            <rFont val="Tahoma"/>
            <family val="2"/>
          </rPr>
          <t>Asa Akers:</t>
        </r>
        <r>
          <rPr>
            <sz val="11"/>
            <color indexed="81"/>
            <rFont val="Tahoma"/>
            <family val="2"/>
          </rPr>
          <t xml:space="preserve">
Will need to change orifice size due to high altitude?</t>
        </r>
      </text>
    </comment>
    <comment ref="AQ109" authorId="0" shapeId="0">
      <text>
        <r>
          <rPr>
            <b/>
            <sz val="11"/>
            <color indexed="81"/>
            <rFont val="Tahoma"/>
            <family val="2"/>
          </rPr>
          <t>Asa Akers:</t>
        </r>
        <r>
          <rPr>
            <sz val="11"/>
            <color indexed="81"/>
            <rFont val="Tahoma"/>
            <family val="2"/>
          </rPr>
          <t xml:space="preserve">
Will need to change orifice size due to high altitude?</t>
        </r>
      </text>
    </comment>
    <comment ref="AR109" authorId="0" shapeId="0">
      <text>
        <r>
          <rPr>
            <b/>
            <sz val="11"/>
            <color indexed="81"/>
            <rFont val="Tahoma"/>
            <family val="2"/>
          </rPr>
          <t>Asa Akers:</t>
        </r>
        <r>
          <rPr>
            <sz val="11"/>
            <color indexed="81"/>
            <rFont val="Tahoma"/>
            <family val="2"/>
          </rPr>
          <t xml:space="preserve">
Will need to change orifice size due to high altitude?</t>
        </r>
      </text>
    </comment>
    <comment ref="BA109" authorId="0" shapeId="0">
      <text>
        <r>
          <rPr>
            <b/>
            <sz val="11"/>
            <color indexed="81"/>
            <rFont val="Tahoma"/>
            <family val="2"/>
          </rPr>
          <t>Asa Akers:</t>
        </r>
        <r>
          <rPr>
            <sz val="11"/>
            <color indexed="81"/>
            <rFont val="Tahoma"/>
            <family val="2"/>
          </rPr>
          <t xml:space="preserve">
Will need to change orifice size due to high altitude?</t>
        </r>
      </text>
    </comment>
    <comment ref="AN110" authorId="0" shapeId="0">
      <text>
        <r>
          <rPr>
            <b/>
            <sz val="11"/>
            <color indexed="81"/>
            <rFont val="Tahoma"/>
            <family val="2"/>
          </rPr>
          <t>Asa Akers:</t>
        </r>
        <r>
          <rPr>
            <sz val="11"/>
            <color indexed="81"/>
            <rFont val="Tahoma"/>
            <family val="2"/>
          </rPr>
          <t xml:space="preserve">
Will need to change orifice size due to high altitude?</t>
        </r>
      </text>
    </comment>
    <comment ref="AQ110" authorId="0" shapeId="0">
      <text>
        <r>
          <rPr>
            <b/>
            <sz val="11"/>
            <color indexed="81"/>
            <rFont val="Tahoma"/>
            <family val="2"/>
          </rPr>
          <t>Asa Akers:</t>
        </r>
        <r>
          <rPr>
            <sz val="11"/>
            <color indexed="81"/>
            <rFont val="Tahoma"/>
            <family val="2"/>
          </rPr>
          <t xml:space="preserve">
Will need to change orifice size due to high altitude?</t>
        </r>
      </text>
    </comment>
    <comment ref="AR110" authorId="0" shapeId="0">
      <text>
        <r>
          <rPr>
            <b/>
            <sz val="11"/>
            <color indexed="81"/>
            <rFont val="Tahoma"/>
            <family val="2"/>
          </rPr>
          <t>Asa Akers:</t>
        </r>
        <r>
          <rPr>
            <sz val="11"/>
            <color indexed="81"/>
            <rFont val="Tahoma"/>
            <family val="2"/>
          </rPr>
          <t xml:space="preserve">
Will need to change orifice size due to high altitude?</t>
        </r>
      </text>
    </comment>
    <comment ref="BA110" authorId="0" shapeId="0">
      <text>
        <r>
          <rPr>
            <b/>
            <sz val="11"/>
            <color indexed="81"/>
            <rFont val="Tahoma"/>
            <family val="2"/>
          </rPr>
          <t>Asa Akers:</t>
        </r>
        <r>
          <rPr>
            <sz val="11"/>
            <color indexed="81"/>
            <rFont val="Tahoma"/>
            <family val="2"/>
          </rPr>
          <t xml:space="preserve">
Will need to change orifice size due to high altitude?</t>
        </r>
      </text>
    </comment>
    <comment ref="AN112" authorId="0" shapeId="0">
      <text>
        <r>
          <rPr>
            <b/>
            <sz val="11"/>
            <color indexed="81"/>
            <rFont val="Tahoma"/>
            <family val="2"/>
          </rPr>
          <t>Asa Akers:</t>
        </r>
        <r>
          <rPr>
            <sz val="11"/>
            <color indexed="81"/>
            <rFont val="Tahoma"/>
            <family val="2"/>
          </rPr>
          <t xml:space="preserve">
Will need to change orifice size due to high altitude?</t>
        </r>
      </text>
    </comment>
    <comment ref="AQ112" authorId="0" shapeId="0">
      <text>
        <r>
          <rPr>
            <b/>
            <sz val="11"/>
            <color indexed="81"/>
            <rFont val="Tahoma"/>
            <family val="2"/>
          </rPr>
          <t>Asa Akers:</t>
        </r>
        <r>
          <rPr>
            <sz val="11"/>
            <color indexed="81"/>
            <rFont val="Tahoma"/>
            <family val="2"/>
          </rPr>
          <t xml:space="preserve">
Will need to change orifice size due to high altitude?</t>
        </r>
      </text>
    </comment>
    <comment ref="AR112" authorId="0" shapeId="0">
      <text>
        <r>
          <rPr>
            <b/>
            <sz val="11"/>
            <color indexed="81"/>
            <rFont val="Tahoma"/>
            <family val="2"/>
          </rPr>
          <t>Asa Akers:</t>
        </r>
        <r>
          <rPr>
            <sz val="11"/>
            <color indexed="81"/>
            <rFont val="Tahoma"/>
            <family val="2"/>
          </rPr>
          <t xml:space="preserve">
Will need to change orifice size due to high altitude?</t>
        </r>
      </text>
    </comment>
    <comment ref="BA112" authorId="0" shapeId="0">
      <text>
        <r>
          <rPr>
            <b/>
            <sz val="11"/>
            <color indexed="81"/>
            <rFont val="Tahoma"/>
            <family val="2"/>
          </rPr>
          <t>Asa Akers:</t>
        </r>
        <r>
          <rPr>
            <sz val="11"/>
            <color indexed="81"/>
            <rFont val="Tahoma"/>
            <family val="2"/>
          </rPr>
          <t xml:space="preserve">
Will need to change orifice size due to high altitude?</t>
        </r>
      </text>
    </comment>
    <comment ref="AN113" authorId="0" shapeId="0">
      <text>
        <r>
          <rPr>
            <b/>
            <sz val="11"/>
            <color indexed="81"/>
            <rFont val="Tahoma"/>
            <family val="2"/>
          </rPr>
          <t>Asa Akers:</t>
        </r>
        <r>
          <rPr>
            <sz val="11"/>
            <color indexed="81"/>
            <rFont val="Tahoma"/>
            <family val="2"/>
          </rPr>
          <t xml:space="preserve">
Will need to change orifice size due to high altitude?</t>
        </r>
      </text>
    </comment>
    <comment ref="AQ113" authorId="0" shapeId="0">
      <text>
        <r>
          <rPr>
            <b/>
            <sz val="11"/>
            <color indexed="81"/>
            <rFont val="Tahoma"/>
            <family val="2"/>
          </rPr>
          <t>Asa Akers:</t>
        </r>
        <r>
          <rPr>
            <sz val="11"/>
            <color indexed="81"/>
            <rFont val="Tahoma"/>
            <family val="2"/>
          </rPr>
          <t xml:space="preserve">
Will need to change orifice size due to high altitude?</t>
        </r>
      </text>
    </comment>
    <comment ref="AR113" authorId="0" shapeId="0">
      <text>
        <r>
          <rPr>
            <b/>
            <sz val="11"/>
            <color indexed="81"/>
            <rFont val="Tahoma"/>
            <family val="2"/>
          </rPr>
          <t>Asa Akers:</t>
        </r>
        <r>
          <rPr>
            <sz val="11"/>
            <color indexed="81"/>
            <rFont val="Tahoma"/>
            <family val="2"/>
          </rPr>
          <t xml:space="preserve">
Will need to change orifice size due to high altitude?</t>
        </r>
      </text>
    </comment>
    <comment ref="BA113" authorId="0" shapeId="0">
      <text>
        <r>
          <rPr>
            <b/>
            <sz val="11"/>
            <color indexed="81"/>
            <rFont val="Tahoma"/>
            <family val="2"/>
          </rPr>
          <t>Asa Akers:</t>
        </r>
        <r>
          <rPr>
            <sz val="11"/>
            <color indexed="81"/>
            <rFont val="Tahoma"/>
            <family val="2"/>
          </rPr>
          <t xml:space="preserve">
Will need to change orifice size due to high altitude?</t>
        </r>
      </text>
    </comment>
    <comment ref="AN114" authorId="0" shapeId="0">
      <text>
        <r>
          <rPr>
            <b/>
            <sz val="11"/>
            <color indexed="81"/>
            <rFont val="Tahoma"/>
            <family val="2"/>
          </rPr>
          <t>Asa Akers:</t>
        </r>
        <r>
          <rPr>
            <sz val="11"/>
            <color indexed="81"/>
            <rFont val="Tahoma"/>
            <family val="2"/>
          </rPr>
          <t xml:space="preserve">
Will need to change orifice size due to high altitude?</t>
        </r>
      </text>
    </comment>
    <comment ref="AQ114" authorId="0" shapeId="0">
      <text>
        <r>
          <rPr>
            <b/>
            <sz val="11"/>
            <color indexed="81"/>
            <rFont val="Tahoma"/>
            <family val="2"/>
          </rPr>
          <t>Asa Akers:</t>
        </r>
        <r>
          <rPr>
            <sz val="11"/>
            <color indexed="81"/>
            <rFont val="Tahoma"/>
            <family val="2"/>
          </rPr>
          <t xml:space="preserve">
Will need to change orifice size due to high altitude?</t>
        </r>
      </text>
    </comment>
    <comment ref="AR114" authorId="0" shapeId="0">
      <text>
        <r>
          <rPr>
            <b/>
            <sz val="11"/>
            <color indexed="81"/>
            <rFont val="Tahoma"/>
            <family val="2"/>
          </rPr>
          <t>Asa Akers:</t>
        </r>
        <r>
          <rPr>
            <sz val="11"/>
            <color indexed="81"/>
            <rFont val="Tahoma"/>
            <family val="2"/>
          </rPr>
          <t xml:space="preserve">
Will need to change orifice size due to high altitude?</t>
        </r>
      </text>
    </comment>
    <comment ref="BA114" authorId="0" shapeId="0">
      <text>
        <r>
          <rPr>
            <b/>
            <sz val="11"/>
            <color indexed="81"/>
            <rFont val="Tahoma"/>
            <family val="2"/>
          </rPr>
          <t>Asa Akers:</t>
        </r>
        <r>
          <rPr>
            <sz val="11"/>
            <color indexed="81"/>
            <rFont val="Tahoma"/>
            <family val="2"/>
          </rPr>
          <t xml:space="preserve">
Will need to change orifice size due to high altitude?</t>
        </r>
      </text>
    </comment>
    <comment ref="AN115" authorId="0" shapeId="0">
      <text>
        <r>
          <rPr>
            <b/>
            <sz val="11"/>
            <color indexed="81"/>
            <rFont val="Tahoma"/>
            <family val="2"/>
          </rPr>
          <t>Asa Akers:</t>
        </r>
        <r>
          <rPr>
            <sz val="11"/>
            <color indexed="81"/>
            <rFont val="Tahoma"/>
            <family val="2"/>
          </rPr>
          <t xml:space="preserve">
Will need to change orifice size due to high altitude?</t>
        </r>
      </text>
    </comment>
    <comment ref="AQ115" authorId="0" shapeId="0">
      <text>
        <r>
          <rPr>
            <b/>
            <sz val="11"/>
            <color indexed="81"/>
            <rFont val="Tahoma"/>
            <family val="2"/>
          </rPr>
          <t>Asa Akers:</t>
        </r>
        <r>
          <rPr>
            <sz val="11"/>
            <color indexed="81"/>
            <rFont val="Tahoma"/>
            <family val="2"/>
          </rPr>
          <t xml:space="preserve">
Will need to change orifice size due to high altitude?</t>
        </r>
      </text>
    </comment>
    <comment ref="AR115" authorId="0" shapeId="0">
      <text>
        <r>
          <rPr>
            <b/>
            <sz val="11"/>
            <color indexed="81"/>
            <rFont val="Tahoma"/>
            <family val="2"/>
          </rPr>
          <t>Asa Akers:</t>
        </r>
        <r>
          <rPr>
            <sz val="11"/>
            <color indexed="81"/>
            <rFont val="Tahoma"/>
            <family val="2"/>
          </rPr>
          <t xml:space="preserve">
Will need to change orifice size due to high altitude?</t>
        </r>
      </text>
    </comment>
    <comment ref="BA115" authorId="0" shapeId="0">
      <text>
        <r>
          <rPr>
            <b/>
            <sz val="11"/>
            <color indexed="81"/>
            <rFont val="Tahoma"/>
            <family val="2"/>
          </rPr>
          <t>Asa Akers:</t>
        </r>
        <r>
          <rPr>
            <sz val="11"/>
            <color indexed="81"/>
            <rFont val="Tahoma"/>
            <family val="2"/>
          </rPr>
          <t xml:space="preserve">
Will need to change orifice size due to high altitude?</t>
        </r>
      </text>
    </comment>
    <comment ref="C116" authorId="0" shapeId="0">
      <text>
        <r>
          <rPr>
            <b/>
            <sz val="11"/>
            <color indexed="81"/>
            <rFont val="Tahoma"/>
            <family val="2"/>
          </rPr>
          <t>Asa Akers:</t>
        </r>
        <r>
          <rPr>
            <sz val="11"/>
            <color indexed="81"/>
            <rFont val="Tahoma"/>
            <family val="2"/>
          </rPr>
          <t xml:space="preserve">
standard section</t>
        </r>
      </text>
    </comment>
    <comment ref="C117" authorId="0" shapeId="0">
      <text>
        <r>
          <rPr>
            <b/>
            <sz val="11"/>
            <color indexed="81"/>
            <rFont val="Tahoma"/>
            <family val="2"/>
          </rPr>
          <t>Asa Akers:</t>
        </r>
        <r>
          <rPr>
            <sz val="11"/>
            <color indexed="81"/>
            <rFont val="Tahoma"/>
            <family val="2"/>
          </rPr>
          <t xml:space="preserve">
Heavy/Extreme section</t>
        </r>
      </text>
    </comment>
    <comment ref="C118" authorId="0" shapeId="0">
      <text>
        <r>
          <rPr>
            <b/>
            <sz val="11"/>
            <color indexed="81"/>
            <rFont val="Tahoma"/>
            <family val="2"/>
          </rPr>
          <t>Asa Akers:</t>
        </r>
        <r>
          <rPr>
            <sz val="11"/>
            <color indexed="81"/>
            <rFont val="Tahoma"/>
            <family val="2"/>
          </rPr>
          <t xml:space="preserve">
Tower Top section</t>
        </r>
      </text>
    </comment>
    <comment ref="C119" authorId="0" shapeId="0">
      <text>
        <r>
          <rPr>
            <b/>
            <sz val="11"/>
            <color indexed="81"/>
            <rFont val="Tahoma"/>
            <family val="2"/>
          </rPr>
          <t>Asa Akers:</t>
        </r>
        <r>
          <rPr>
            <sz val="11"/>
            <color indexed="81"/>
            <rFont val="Tahoma"/>
            <family val="2"/>
          </rPr>
          <t xml:space="preserve">
standard section</t>
        </r>
      </text>
    </comment>
    <comment ref="AW120" authorId="1" shapeId="0">
      <text>
        <r>
          <rPr>
            <b/>
            <sz val="9"/>
            <color indexed="81"/>
            <rFont val="Tahoma"/>
            <charset val="1"/>
          </rPr>
          <t>Stephen Craft:</t>
        </r>
        <r>
          <rPr>
            <sz val="9"/>
            <color indexed="81"/>
            <rFont val="Tahoma"/>
            <charset val="1"/>
          </rPr>
          <t xml:space="preserve">
Same mount, but will attach to unistrut instead of railing.</t>
        </r>
      </text>
    </comment>
    <comment ref="C123" authorId="0" shapeId="0">
      <text>
        <r>
          <rPr>
            <b/>
            <sz val="11"/>
            <color indexed="81"/>
            <rFont val="Tahoma"/>
            <family val="2"/>
          </rPr>
          <t>Asa Akers:</t>
        </r>
        <r>
          <rPr>
            <sz val="11"/>
            <color indexed="81"/>
            <rFont val="Tahoma"/>
            <family val="2"/>
          </rPr>
          <t xml:space="preserve">
Comes with 2 Heavy/Extreme and 3 Standard rail clamps in case we need to move a boom (and therefore transducer/grapes).  Only called for on towers that have Extreme or heavy sections</t>
        </r>
      </text>
    </comment>
    <comment ref="E123" authorId="0" shapeId="0">
      <text>
        <r>
          <rPr>
            <b/>
            <sz val="11"/>
            <color indexed="81"/>
            <rFont val="Tahoma"/>
            <family val="2"/>
          </rPr>
          <t>Asa Akers:</t>
        </r>
        <r>
          <rPr>
            <sz val="11"/>
            <color indexed="81"/>
            <rFont val="Tahoma"/>
            <family val="2"/>
          </rPr>
          <t xml:space="preserve">
Communicate to I&amp;V how the cusp logic works
</t>
        </r>
      </text>
    </comment>
    <comment ref="AW124" authorId="1" shapeId="0">
      <text>
        <r>
          <rPr>
            <b/>
            <sz val="9"/>
            <color indexed="81"/>
            <rFont val="Tahoma"/>
            <charset val="1"/>
          </rPr>
          <t>Stephen Craft:</t>
        </r>
        <r>
          <rPr>
            <sz val="9"/>
            <color indexed="81"/>
            <rFont val="Tahoma"/>
            <charset val="1"/>
          </rPr>
          <t xml:space="preserve">
Attaches to PDS ladder, not to tower itself.</t>
        </r>
      </text>
    </comment>
    <comment ref="C126" authorId="0" shapeId="0">
      <text>
        <r>
          <rPr>
            <b/>
            <sz val="11"/>
            <color indexed="81"/>
            <rFont val="Tahoma"/>
            <family val="2"/>
          </rPr>
          <t>Asa Akers:</t>
        </r>
        <r>
          <rPr>
            <sz val="11"/>
            <color indexed="81"/>
            <rFont val="Tahoma"/>
            <family val="2"/>
          </rPr>
          <t xml:space="preserve">
Demand is based of # spools calculated by Integration calculator tool (Joe Webster)</t>
        </r>
      </text>
    </comment>
    <comment ref="BG127" authorId="0" shapeId="0">
      <text>
        <r>
          <rPr>
            <b/>
            <sz val="11"/>
            <color indexed="81"/>
            <rFont val="Tahoma"/>
            <family val="2"/>
          </rPr>
          <t>Asa Akers:</t>
        </r>
        <r>
          <rPr>
            <sz val="11"/>
            <color indexed="81"/>
            <rFont val="Tahoma"/>
            <family val="2"/>
          </rPr>
          <t xml:space="preserve">
Chiller not expected to be on frequently</t>
        </r>
      </text>
    </comment>
    <comment ref="AM135" authorId="0" shapeId="0">
      <text>
        <r>
          <rPr>
            <b/>
            <sz val="11"/>
            <color indexed="81"/>
            <rFont val="Tahoma"/>
            <family val="2"/>
          </rPr>
          <t>Asa Akers:</t>
        </r>
        <r>
          <rPr>
            <sz val="11"/>
            <color indexed="81"/>
            <rFont val="Tahoma"/>
            <family val="2"/>
          </rPr>
          <t xml:space="preserve">
=IF(
             VLOOKUP(E$2,'TIS Site Config'!$A$2:$AQ$63,26,FALSE)="Yes",
                            45,
                             IF(
                                      VLOOKUP(E$2,'TIS Site Config'!$A$2:$AQ$63,5,FALSE)="Core",
                                          40,35))</t>
        </r>
      </text>
    </comment>
    <comment ref="BG137" authorId="0" shapeId="0">
      <text>
        <r>
          <rPr>
            <b/>
            <sz val="11"/>
            <color indexed="81"/>
            <rFont val="Tahoma"/>
            <family val="2"/>
          </rPr>
          <t xml:space="preserve">Asa Akers:
</t>
        </r>
        <r>
          <rPr>
            <sz val="11"/>
            <color indexed="81"/>
            <rFont val="Tahoma"/>
            <family val="2"/>
          </rPr>
          <t>existing design but with new mounting</t>
        </r>
      </text>
    </comment>
    <comment ref="BG138" authorId="0" shapeId="0">
      <text>
        <r>
          <rPr>
            <b/>
            <sz val="11"/>
            <color indexed="81"/>
            <rFont val="Tahoma"/>
            <family val="2"/>
          </rPr>
          <t>Asa Akers:</t>
        </r>
        <r>
          <rPr>
            <sz val="11"/>
            <color indexed="81"/>
            <rFont val="Tahoma"/>
            <family val="2"/>
          </rPr>
          <t xml:space="preserve">
GMP343 "might" work (modified mounting) - Licor will certainly work</t>
        </r>
      </text>
    </comment>
    <comment ref="C141" authorId="0" shapeId="0">
      <text>
        <r>
          <rPr>
            <b/>
            <sz val="11"/>
            <color indexed="81"/>
            <rFont val="Tahoma"/>
            <family val="2"/>
          </rPr>
          <t>Asa Akers:</t>
        </r>
        <r>
          <rPr>
            <sz val="11"/>
            <color indexed="81"/>
            <rFont val="Tahoma"/>
            <family val="2"/>
          </rPr>
          <t xml:space="preserve">
Includes:
- CO2 analysis equipment and rack  </t>
        </r>
        <r>
          <rPr>
            <sz val="11"/>
            <color indexed="10"/>
            <rFont val="Tahoma"/>
            <family val="2"/>
          </rPr>
          <t>**Change for Delta</t>
        </r>
        <r>
          <rPr>
            <sz val="11"/>
            <color indexed="81"/>
            <rFont val="Tahoma"/>
            <family val="2"/>
          </rPr>
          <t xml:space="preserve">
- Bulkhead plate (separating Hut gas room and hut main room)  ***No change for Delta
- Grape plate + 2 catawba grapes  </t>
        </r>
        <r>
          <rPr>
            <sz val="11"/>
            <color indexed="10"/>
            <rFont val="Tahoma"/>
            <family val="2"/>
          </rPr>
          <t>***Change for Delta</t>
        </r>
        <r>
          <rPr>
            <sz val="11"/>
            <color indexed="81"/>
            <rFont val="Tahoma"/>
            <family val="2"/>
          </rPr>
          <t xml:space="preserve">
- PDU for pumps
- Gas cylinder rack (but not cylinders)
- Validation plate 
- Tubing/hardware to allow capabiltiy of H2O for any # ML regardless of site config
- Validation gauges / tubing / manifolds from validation cylinders to validation plate 
</t>
        </r>
        <r>
          <rPr>
            <sz val="11"/>
            <color indexed="10"/>
            <rFont val="Tahoma"/>
            <family val="2"/>
          </rPr>
          <t>***FUTURE REV of BOM - Delta Profile (x1 24V grape? (PRT) and x3 catawba)***
Need to add in IRGA/shelf, IRGA pump, pump fittings, cables, etc.
Need to add in CD00830010 into CD07420100 and take out of CE07450000</t>
        </r>
      </text>
    </comment>
    <comment ref="C142" authorId="0" shapeId="0">
      <text>
        <r>
          <rPr>
            <b/>
            <sz val="11"/>
            <color indexed="81"/>
            <rFont val="Tahoma"/>
            <family val="2"/>
          </rPr>
          <t>Asa Akers:</t>
        </r>
        <r>
          <rPr>
            <sz val="11"/>
            <color indexed="81"/>
            <rFont val="Tahoma"/>
            <family val="2"/>
          </rPr>
          <t xml:space="preserve">
Includes CE07440000 and H2O analysis hardware and H2O zero air grape</t>
        </r>
      </text>
    </comment>
    <comment ref="C144" authorId="0" shapeId="0">
      <text>
        <r>
          <rPr>
            <b/>
            <sz val="11"/>
            <color indexed="81"/>
            <rFont val="Tahoma"/>
            <family val="2"/>
          </rPr>
          <t>Asa Akers:</t>
        </r>
        <r>
          <rPr>
            <sz val="11"/>
            <color indexed="81"/>
            <rFont val="Tahoma"/>
            <family val="2"/>
          </rPr>
          <t xml:space="preserve">
Red in pic - includes pumps (Std Alt), flow device, tubing, fittings</t>
        </r>
      </text>
    </comment>
    <comment ref="C145" authorId="0" shapeId="0">
      <text>
        <r>
          <rPr>
            <b/>
            <sz val="11"/>
            <color indexed="81"/>
            <rFont val="Tahoma"/>
            <family val="2"/>
          </rPr>
          <t>Asa Akers:</t>
        </r>
        <r>
          <rPr>
            <sz val="11"/>
            <color indexed="81"/>
            <rFont val="Tahoma"/>
            <family val="2"/>
          </rPr>
          <t xml:space="preserve">
Red in pic - includes pumps (High Alt), flow device, tubing, fittings</t>
        </r>
      </text>
    </comment>
    <comment ref="C146" authorId="0" shapeId="0">
      <text>
        <r>
          <rPr>
            <b/>
            <sz val="11"/>
            <color indexed="81"/>
            <rFont val="Tahoma"/>
            <family val="2"/>
          </rPr>
          <t xml:space="preserve">Asa Akers:
</t>
        </r>
        <r>
          <rPr>
            <sz val="11"/>
            <color indexed="81"/>
            <rFont val="Tahoma"/>
            <family val="2"/>
          </rPr>
          <t xml:space="preserve">
Always 1 pump for Licor
+ 1 pump per 3 ML</t>
        </r>
      </text>
    </comment>
    <comment ref="C147" authorId="0" shapeId="0">
      <text>
        <r>
          <rPr>
            <b/>
            <sz val="11"/>
            <color indexed="81"/>
            <rFont val="Tahoma"/>
            <family val="2"/>
          </rPr>
          <t>Asa Akers:</t>
        </r>
        <r>
          <rPr>
            <sz val="11"/>
            <color indexed="81"/>
            <rFont val="Tahoma"/>
            <family val="2"/>
          </rPr>
          <t xml:space="preserve">
Includes screws and washers and ethernet cables for grapes.
Always 5 grapes with new Delta design for sites up to and including 6 MLs
+1 Grape for sites with 7+ MLs
(Old logic had been "Demand for sites with ML 5+
Max(0, roundup[(ML-4)/2]")</t>
        </r>
      </text>
    </comment>
  </commentList>
</comments>
</file>

<file path=xl/sharedStrings.xml><?xml version="1.0" encoding="utf-8"?>
<sst xmlns="http://schemas.openxmlformats.org/spreadsheetml/2006/main" count="4043" uniqueCount="1217">
  <si>
    <t>Site Structural Grouping</t>
  </si>
  <si>
    <t>Components</t>
  </si>
  <si>
    <t>Barometric Pressure</t>
  </si>
  <si>
    <t>Mid-Level Radiation</t>
  </si>
  <si>
    <t>CF00300000</t>
  </si>
  <si>
    <t>2D Wind</t>
  </si>
  <si>
    <t>Spectral Photometer</t>
  </si>
  <si>
    <t>CF02900000</t>
  </si>
  <si>
    <t>Soil - Radiation Quantum Line Sensor</t>
  </si>
  <si>
    <t>CF02800000</t>
  </si>
  <si>
    <t>Fiber Box</t>
  </si>
  <si>
    <t>CF01200000</t>
  </si>
  <si>
    <t>DFIR</t>
  </si>
  <si>
    <t>Hut</t>
  </si>
  <si>
    <t>UPS</t>
  </si>
  <si>
    <t xml:space="preserve"> </t>
  </si>
  <si>
    <t>Fiber</t>
  </si>
  <si>
    <t>Location Controller</t>
  </si>
  <si>
    <t>Timing</t>
  </si>
  <si>
    <t>Human Interface</t>
  </si>
  <si>
    <t>STER</t>
  </si>
  <si>
    <t>CPER</t>
  </si>
  <si>
    <t>OSBS</t>
  </si>
  <si>
    <t>Subsystem</t>
  </si>
  <si>
    <t>Mechanical Infrastructure</t>
  </si>
  <si>
    <t>Grounding Infrastructure</t>
  </si>
  <si>
    <t>Electrical Infrastructure</t>
  </si>
  <si>
    <t>Secondary Precipitation</t>
  </si>
  <si>
    <t>Southeast Radiation</t>
  </si>
  <si>
    <t>Southwest Radiation</t>
  </si>
  <si>
    <t>Aspirated Air Temperature Single</t>
  </si>
  <si>
    <t>Aspirated Air Temperature Triple</t>
  </si>
  <si>
    <t>Humidity Sensor</t>
  </si>
  <si>
    <t>Radiation LW IR (Reflected)</t>
  </si>
  <si>
    <t>Radiation IR Broadband - Biological Temperature</t>
  </si>
  <si>
    <t>Sensor Systems - Soil</t>
  </si>
  <si>
    <t>TIS</t>
  </si>
  <si>
    <t>Civil Infrastructure</t>
  </si>
  <si>
    <t>Tower</t>
  </si>
  <si>
    <t>Lightning Protection System</t>
  </si>
  <si>
    <t>Tower Cattle Fence</t>
  </si>
  <si>
    <t>Hut Structure</t>
  </si>
  <si>
    <t>HVAC</t>
  </si>
  <si>
    <t>Exhaust Fan</t>
  </si>
  <si>
    <t>Site</t>
  </si>
  <si>
    <t>Boardwalk</t>
  </si>
  <si>
    <t>Utility Pedestal</t>
  </si>
  <si>
    <t>Improved Path</t>
  </si>
  <si>
    <t>Power Distribution System (PDS)</t>
  </si>
  <si>
    <t>PDS - Tower</t>
  </si>
  <si>
    <t>PDS - Soil</t>
  </si>
  <si>
    <t>PDS - Soil Device Post</t>
  </si>
  <si>
    <t>PDS - DFIR</t>
  </si>
  <si>
    <t>PDS - Hut</t>
  </si>
  <si>
    <t>PDU</t>
  </si>
  <si>
    <t>Electrical Panels</t>
  </si>
  <si>
    <t>Surge Protectors</t>
  </si>
  <si>
    <t>Data Acquisition System (DAS)</t>
  </si>
  <si>
    <t>DAS - Tower</t>
  </si>
  <si>
    <t>DAS - Soil</t>
  </si>
  <si>
    <t>DAS - DFIR</t>
  </si>
  <si>
    <t>DAS - Hut</t>
  </si>
  <si>
    <t>Instrument Racks</t>
  </si>
  <si>
    <t>Network</t>
  </si>
  <si>
    <t>Booms Tower - Level 1 Arbor</t>
  </si>
  <si>
    <t>Mechanical System</t>
  </si>
  <si>
    <t>Booms Tower - Profile</t>
  </si>
  <si>
    <t>Booms Tower - Top Pivot</t>
  </si>
  <si>
    <t>Booms Soil - Radiation Arbor</t>
  </si>
  <si>
    <t>Sensor Systems</t>
  </si>
  <si>
    <t>Sensor Systems - Tower</t>
  </si>
  <si>
    <t>Barometric Pressure Sensor</t>
  </si>
  <si>
    <t>PAR Sensor</t>
  </si>
  <si>
    <t>Grape 24VDC</t>
  </si>
  <si>
    <t>2D Sonic Sensor</t>
  </si>
  <si>
    <t>SE Radiation</t>
  </si>
  <si>
    <t>SW Radiation</t>
  </si>
  <si>
    <t>Spectral Photometer Sensor</t>
  </si>
  <si>
    <t>Humidity</t>
  </si>
  <si>
    <t>Phenology Camera</t>
  </si>
  <si>
    <t>Snow Depth Camera</t>
  </si>
  <si>
    <t>3 Axis Accelerometer</t>
  </si>
  <si>
    <t>Grape 12VDC</t>
  </si>
  <si>
    <t>Gas Delivery Infrastructure</t>
  </si>
  <si>
    <t>Wet Deposition Collector</t>
  </si>
  <si>
    <t>Heat Flux Sensor</t>
  </si>
  <si>
    <t>Radiation Quanta Line</t>
  </si>
  <si>
    <t>Water Content Profile</t>
  </si>
  <si>
    <t>Temperature Profile</t>
  </si>
  <si>
    <t>PRT Sensor</t>
  </si>
  <si>
    <t xml:space="preserve">Throughfall - Precipitation Tipping Bucket </t>
  </si>
  <si>
    <t>CO2</t>
  </si>
  <si>
    <t>Altar</t>
  </si>
  <si>
    <t>Sensor Systems - Hut</t>
  </si>
  <si>
    <t>Domain</t>
  </si>
  <si>
    <t>Core/Relocatable</t>
  </si>
  <si>
    <t>Harvard Forest</t>
  </si>
  <si>
    <t>Bartlett Experimental Forest</t>
  </si>
  <si>
    <t>SCBI</t>
  </si>
  <si>
    <t>Blandy Experimental Farm</t>
  </si>
  <si>
    <t>Ordway-Swisher Biological Station</t>
  </si>
  <si>
    <t>Disney Wilderness Preserve</t>
  </si>
  <si>
    <t>Jones Ecological Research Center</t>
  </si>
  <si>
    <t>Guanica Forest</t>
  </si>
  <si>
    <t>Lajas Experimental Station</t>
  </si>
  <si>
    <t>UNDERC</t>
  </si>
  <si>
    <t>Konza Prairie Biological Station</t>
  </si>
  <si>
    <t>Oak Ridge</t>
  </si>
  <si>
    <t>Great Smoky Mountains National Park, Twin Creeks</t>
  </si>
  <si>
    <t>Talladega National Forest</t>
  </si>
  <si>
    <t>Dead Lake</t>
  </si>
  <si>
    <t>Woodworth</t>
  </si>
  <si>
    <t>Dakota Coteau Field School</t>
  </si>
  <si>
    <t>Northern Great Plains Research Laboratory</t>
  </si>
  <si>
    <t>North Sterling, CO</t>
  </si>
  <si>
    <t>Klemme Range Research Station</t>
  </si>
  <si>
    <t>Santa Rita Experimental Range</t>
  </si>
  <si>
    <t>Jornada LTER</t>
  </si>
  <si>
    <t>Onaqui-Ault</t>
  </si>
  <si>
    <t>Wind River Experimental Forest</t>
  </si>
  <si>
    <t>Abby Road</t>
  </si>
  <si>
    <t>San Joaquin</t>
  </si>
  <si>
    <t>Soaproot Saddle</t>
  </si>
  <si>
    <t>Lower Teakettle</t>
  </si>
  <si>
    <t>Toolik Lake</t>
  </si>
  <si>
    <t>Delta Junction</t>
  </si>
  <si>
    <t>Site Long Name</t>
  </si>
  <si>
    <t>Heated</t>
  </si>
  <si>
    <t>Core</t>
  </si>
  <si>
    <t>Relocatable</t>
  </si>
  <si>
    <t>Non-heated</t>
  </si>
  <si>
    <t>Hut Rack PoE Assembly</t>
  </si>
  <si>
    <t>DSNY</t>
  </si>
  <si>
    <t>JERC</t>
  </si>
  <si>
    <t>JORN</t>
  </si>
  <si>
    <t>Subsystem 
Agile PN</t>
  </si>
  <si>
    <t>Subsystem 
Type</t>
  </si>
  <si>
    <t>SERC</t>
  </si>
  <si>
    <t>Guyed</t>
  </si>
  <si>
    <t>Self Supporting</t>
  </si>
  <si>
    <t>CIMEL corner</t>
  </si>
  <si>
    <t>Tipping Bucket Corner</t>
  </si>
  <si>
    <t>AD</t>
  </si>
  <si>
    <t>AB</t>
  </si>
  <si>
    <t>Treehaven</t>
  </si>
  <si>
    <t>NEMA face</t>
  </si>
  <si>
    <t>C</t>
  </si>
  <si>
    <t>D</t>
  </si>
  <si>
    <t>PDS- Soil Plots</t>
  </si>
  <si>
    <t>PDS Hut</t>
  </si>
  <si>
    <t>DAS-Hut</t>
  </si>
  <si>
    <t>Subsystem, Mid-Level Radiation, Split, Upper</t>
  </si>
  <si>
    <t>Subsystem, Mid-Level Radiation, Split, Lower</t>
  </si>
  <si>
    <t>Subsystem, Mid-Level Radiation, Combined, Upper</t>
  </si>
  <si>
    <t>Subsystem, Mid-Level Radiation, Combined, Lower</t>
  </si>
  <si>
    <t>Subsystem, Mid-Level Radiation, Level 1</t>
  </si>
  <si>
    <t>Subsystem, Aspirated Shield Single, Non-Heated, Split</t>
  </si>
  <si>
    <t>Subsystem, Aspirated Shield Single, Heated, Split</t>
  </si>
  <si>
    <t>Subsystem, Aspirated Shield Single, Non-Heated, Combined</t>
  </si>
  <si>
    <t>Subsystem, Aspirated Shield Single, Heated, Combined</t>
  </si>
  <si>
    <t>Subsystem, Aspirated Shield Triple, Non-Heated, Split</t>
  </si>
  <si>
    <t>Subsystem, Aspirated Shield Triple, Heated, Split</t>
  </si>
  <si>
    <t>Subsystem, Aspirated Shield Triple, Non-Heated, Combined</t>
  </si>
  <si>
    <t>Subsystem, Aspirated Shield Triple, Heated, Combined</t>
  </si>
  <si>
    <t>Subsystem, 2D Wind, Non-Heated, Boom Mount</t>
  </si>
  <si>
    <t>Subsystem, 2D Wind, Heated, Boom Mount</t>
  </si>
  <si>
    <t>Subsystem, 2D Wind, Non-Heated, Level 1</t>
  </si>
  <si>
    <t>Subsystem, Secondary Precipitation, Non-Heated, Narrow</t>
  </si>
  <si>
    <t>Subsystem, Secondary Precipitation, Heated, Narrow</t>
  </si>
  <si>
    <t>Subsystem, South East Radiation, Core</t>
  </si>
  <si>
    <t>Subsystem, South East Radiation, Single</t>
  </si>
  <si>
    <t>Subsystem, Tower Humidity Sensor, without grape</t>
  </si>
  <si>
    <t>Subsystem, Tower Humidity Sensor, with grape</t>
  </si>
  <si>
    <t>Subsystem, Tower Boom, Top, Left Pivot</t>
  </si>
  <si>
    <t>Subsystem, Tower Boom, Top, Right Pivot</t>
  </si>
  <si>
    <t>Subsystem, Soil Boom, Arbor, Plots 1&amp;5</t>
  </si>
  <si>
    <t>PDS - Tower Base</t>
  </si>
  <si>
    <t>PDS - Tower Measurement Levels</t>
  </si>
  <si>
    <t>PDS - Tower Platform and Under Deck Section</t>
  </si>
  <si>
    <t>Subsystem, PDS, Tower Base, Pass Thru Above, Heated</t>
  </si>
  <si>
    <t>Subsystem, PDS, Tower Base, Pass Thru Above, Unheated</t>
  </si>
  <si>
    <t>Subsystem, PDS, Tower Base, Measurement Level Above, Unheated</t>
  </si>
  <si>
    <t>Subsystem, PDS, Tower Measurement Level, Unheated</t>
  </si>
  <si>
    <t>Subsystem, PDS, Tower Measurement Level, Heated</t>
  </si>
  <si>
    <t>Subsystem, PDS, Tower Pass Thru Level</t>
  </si>
  <si>
    <t>Subsystem, PDS, Tower Deck and Under Deck,  Unheated</t>
  </si>
  <si>
    <t>Subsystem, PDS, Tower Top Deck and Under Deck, Heated</t>
  </si>
  <si>
    <t>Subsystem, PDS, Soil Plot Power Populated Arbours</t>
  </si>
  <si>
    <t>Subsystem, DAS, Hut, Instrument Racks</t>
  </si>
  <si>
    <t>Subsystem, DAS, Hut, Location Controller</t>
  </si>
  <si>
    <t>Subsystem, DAS, Hut, Network</t>
  </si>
  <si>
    <t>Subsystem, DAS, Hut, Telephony</t>
  </si>
  <si>
    <t>Subsystem, DAS, Hut, Human Interface</t>
  </si>
  <si>
    <t>Subsystem, DAS, Hut, Timing</t>
  </si>
  <si>
    <t>Subsystem, DAS, Tower Fiber</t>
  </si>
  <si>
    <t>Subsystem, DAS, Soil Fiber</t>
  </si>
  <si>
    <t>Subsystem, PDS, Hut</t>
  </si>
  <si>
    <t>Subsystem, Soil Humidity Sensor</t>
  </si>
  <si>
    <t>Subsystem, Soil Radiation IR Broadband</t>
  </si>
  <si>
    <t>Subsystem, Soil Radiation LW IR</t>
  </si>
  <si>
    <t>Subsystem, Soil Radiation Quantum Line Sensor</t>
  </si>
  <si>
    <t>Subsystem, PDS, Tower Base, Measurement Level Above, Heated</t>
  </si>
  <si>
    <t>Tower Section #2 Section Type</t>
  </si>
  <si>
    <t>Standard</t>
  </si>
  <si>
    <t>Heavy</t>
  </si>
  <si>
    <t>Extreme</t>
  </si>
  <si>
    <t>BART</t>
  </si>
  <si>
    <t>BLAN</t>
  </si>
  <si>
    <t>LAJA</t>
  </si>
  <si>
    <t>STEI</t>
  </si>
  <si>
    <t>TREE</t>
  </si>
  <si>
    <t>UKFS</t>
  </si>
  <si>
    <t>KONA</t>
  </si>
  <si>
    <t>GRSM</t>
  </si>
  <si>
    <t>MLBS</t>
  </si>
  <si>
    <t>DELA</t>
  </si>
  <si>
    <t>LENO</t>
  </si>
  <si>
    <t>DCFS</t>
  </si>
  <si>
    <t>NOGP</t>
  </si>
  <si>
    <t>RMNP</t>
  </si>
  <si>
    <t>OAES</t>
  </si>
  <si>
    <t>MOAB</t>
  </si>
  <si>
    <t>ABBY</t>
  </si>
  <si>
    <t>TEAK</t>
  </si>
  <si>
    <t>SOAP</t>
  </si>
  <si>
    <t>DEJU</t>
  </si>
  <si>
    <t>HEAL</t>
  </si>
  <si>
    <t>Niwot Ridge Mountain Research Station</t>
  </si>
  <si>
    <t>HARV</t>
  </si>
  <si>
    <t>GUAN</t>
  </si>
  <si>
    <t>UNDE</t>
  </si>
  <si>
    <t>KONZ</t>
  </si>
  <si>
    <t>ORNL</t>
  </si>
  <si>
    <t>TALL</t>
  </si>
  <si>
    <t>WOOD</t>
  </si>
  <si>
    <t>CLBJ</t>
  </si>
  <si>
    <t>YELL</t>
  </si>
  <si>
    <t>NIWO</t>
  </si>
  <si>
    <t>SRER</t>
  </si>
  <si>
    <t>ONAQ</t>
  </si>
  <si>
    <t>WREF</t>
  </si>
  <si>
    <t>SJER</t>
  </si>
  <si>
    <t>TOOL</t>
  </si>
  <si>
    <t>BONA</t>
  </si>
  <si>
    <t>Num of Tower sections</t>
  </si>
  <si>
    <t>Num of MLs</t>
  </si>
  <si>
    <t>Tower Height (ft)</t>
  </si>
  <si>
    <t>y-CD</t>
  </si>
  <si>
    <t>y-BC</t>
  </si>
  <si>
    <t>y-AD</t>
  </si>
  <si>
    <t>y-AB</t>
  </si>
  <si>
    <t>D11</t>
  </si>
  <si>
    <t>D14</t>
  </si>
  <si>
    <t>D15</t>
  </si>
  <si>
    <t>Subsystem, Spectral Photometer, Corner Mount Universal</t>
  </si>
  <si>
    <t>ML2 Tower section</t>
  </si>
  <si>
    <t>ML3 Tower section</t>
  </si>
  <si>
    <t>D01</t>
  </si>
  <si>
    <t>D02</t>
  </si>
  <si>
    <t>D03</t>
  </si>
  <si>
    <t>D04</t>
  </si>
  <si>
    <t>D05</t>
  </si>
  <si>
    <t>D06</t>
  </si>
  <si>
    <t>D07</t>
  </si>
  <si>
    <t>D08</t>
  </si>
  <si>
    <t>D09</t>
  </si>
  <si>
    <t>D10</t>
  </si>
  <si>
    <t>D12</t>
  </si>
  <si>
    <t>D13</t>
  </si>
  <si>
    <t>D16</t>
  </si>
  <si>
    <t>D17</t>
  </si>
  <si>
    <t>D18</t>
  </si>
  <si>
    <t>D19</t>
  </si>
  <si>
    <t>D20</t>
  </si>
  <si>
    <t>HQ Tower</t>
  </si>
  <si>
    <t>CE05630000</t>
  </si>
  <si>
    <t>CD05790000</t>
  </si>
  <si>
    <t>CD05800000</t>
  </si>
  <si>
    <t>CD05810000</t>
  </si>
  <si>
    <t>CD05830000</t>
  </si>
  <si>
    <t>CD05820000</t>
  </si>
  <si>
    <t>CF05840000</t>
  </si>
  <si>
    <t>CF05850000</t>
  </si>
  <si>
    <t>CD05671000</t>
  </si>
  <si>
    <t>CD05672000</t>
  </si>
  <si>
    <t>CD05673000</t>
  </si>
  <si>
    <t>CD05674000</t>
  </si>
  <si>
    <t>CD05676000</t>
  </si>
  <si>
    <t>CD05675000</t>
  </si>
  <si>
    <t>CD05677000</t>
  </si>
  <si>
    <t>CD05678000</t>
  </si>
  <si>
    <t>CD05679000</t>
  </si>
  <si>
    <t>CD05870000</t>
  </si>
  <si>
    <t>CD05890000</t>
  </si>
  <si>
    <t>CD05900000</t>
  </si>
  <si>
    <t>CD05910000</t>
  </si>
  <si>
    <t>CD05920000</t>
  </si>
  <si>
    <t>CF05930000</t>
  </si>
  <si>
    <t>CF05940000</t>
  </si>
  <si>
    <t>CE05560009</t>
  </si>
  <si>
    <t>Subsystem, DAS, Hut, External Infrastructure</t>
  </si>
  <si>
    <t>Subsystem, 2D Wind, Heated, Level 1, Standard</t>
  </si>
  <si>
    <t>Subsystem, 2D Wind, Heated, Level 1, Heavy/Extreme</t>
  </si>
  <si>
    <t>CD05810040</t>
  </si>
  <si>
    <t>CD05810030</t>
  </si>
  <si>
    <t>CD05810020</t>
  </si>
  <si>
    <t>CD05810010</t>
  </si>
  <si>
    <t>CD05790010</t>
  </si>
  <si>
    <t>CD05790020</t>
  </si>
  <si>
    <t>CD05790030</t>
  </si>
  <si>
    <t>CD05790040</t>
  </si>
  <si>
    <t>CD05790050</t>
  </si>
  <si>
    <t>CD05800010</t>
  </si>
  <si>
    <t>CD05800020</t>
  </si>
  <si>
    <t>CD05800030</t>
  </si>
  <si>
    <t>CD05900010</t>
  </si>
  <si>
    <t>CD05910010</t>
  </si>
  <si>
    <t>CD05920010</t>
  </si>
  <si>
    <t>CD05830010</t>
  </si>
  <si>
    <t>CD05890010</t>
  </si>
  <si>
    <t>CD05870010</t>
  </si>
  <si>
    <t>CD05870020</t>
  </si>
  <si>
    <t>CD05870030</t>
  </si>
  <si>
    <t>CD05870040</t>
  </si>
  <si>
    <t>Tower Section #1 Section Type</t>
  </si>
  <si>
    <t>Subsystem, Barometric Pressure, Heavy/Extreme</t>
  </si>
  <si>
    <t>Subsystem, Barometric Pressure, Standard</t>
  </si>
  <si>
    <t>CE05560001</t>
  </si>
  <si>
    <t>CE05560002</t>
  </si>
  <si>
    <t>CE05560003</t>
  </si>
  <si>
    <t>CE05560004</t>
  </si>
  <si>
    <t>CE05560005</t>
  </si>
  <si>
    <t>CE05560006</t>
  </si>
  <si>
    <t>CD05920020</t>
  </si>
  <si>
    <t>CD00780030</t>
  </si>
  <si>
    <t>Subsystem, South West Radiation, Split or Non-Heated Combined, Right</t>
  </si>
  <si>
    <t>Subsystem, South West Radiation, Heated, Combined, Right</t>
  </si>
  <si>
    <t>CD05920030</t>
  </si>
  <si>
    <t xml:space="preserve">Subsystem, South West Radiation, Heated, Combined, Left </t>
  </si>
  <si>
    <t>Subsystem, South West Radiation, Split or Non-Heated Combined, Left</t>
  </si>
  <si>
    <t>Up/Down PAR direction</t>
  </si>
  <si>
    <t>Subsystem, PDS, Soil Array Path Installation Populated</t>
  </si>
  <si>
    <t>Telephony</t>
  </si>
  <si>
    <t>External Infrastructure</t>
  </si>
  <si>
    <t>Barometric Pressure, Standard</t>
  </si>
  <si>
    <t>Barometric Pressure, Heavy/Extreme</t>
  </si>
  <si>
    <t>Tower Humidity Sensor, without grape</t>
  </si>
  <si>
    <t>Tower Humidity Sensor, with grape</t>
  </si>
  <si>
    <t>Soil Humidity Sensor</t>
  </si>
  <si>
    <t>Particulate Analyzer - Size</t>
  </si>
  <si>
    <t>Particulate Analyzer - Mass</t>
  </si>
  <si>
    <t>Mid-Level Radiation, Upper, Combined</t>
  </si>
  <si>
    <t>Mid-Level Radiation, Level 1</t>
  </si>
  <si>
    <t>Mid-Level Radiation, Lower, Combined</t>
  </si>
  <si>
    <t>Mid-Level Radiation, Upper, Split</t>
  </si>
  <si>
    <t>Mid-Level Radiation, Lower, Split</t>
  </si>
  <si>
    <t>Aspirated Shield Single, Heated, Split</t>
  </si>
  <si>
    <t>Aspirated Shield Single, Non-Heated, Split</t>
  </si>
  <si>
    <t>Aspirated Shield Single, Non-Heated, Combined</t>
  </si>
  <si>
    <t xml:space="preserve">Aspirated Shield Single, Heated, Combined </t>
  </si>
  <si>
    <t>Aspirated Shield Triple, Non-Heated Combined</t>
  </si>
  <si>
    <t xml:space="preserve">Aspirated Shield Triple, Heated Combined </t>
  </si>
  <si>
    <t>Aspirated Shield Triple, Heated, Split</t>
  </si>
  <si>
    <t>Aspirated Shield Triple, Non-Heated, Split</t>
  </si>
  <si>
    <t>2D Wind, Non-Heated, Boom Mount</t>
  </si>
  <si>
    <t>2D Wind, Heated, Boom Mount</t>
  </si>
  <si>
    <t>2D Wind, Non-Heated, Level 1</t>
  </si>
  <si>
    <t>2D Wind, Heated, Level 1, Standard</t>
  </si>
  <si>
    <t>2D Wind, Heated, Level 1, Heavy/Extreme</t>
  </si>
  <si>
    <t>Secondary Precipitation, Non-Heated</t>
  </si>
  <si>
    <t>Secondary Precipitation, Heated</t>
  </si>
  <si>
    <t>South East Radiation, Core</t>
  </si>
  <si>
    <t>Spectral Photometer, Corner Mount Universal</t>
  </si>
  <si>
    <t>Heat Flux</t>
  </si>
  <si>
    <t>Eddy Covariance Turbulent Exchange</t>
  </si>
  <si>
    <t>Subsystem, Throughfall Precipitation, Soil</t>
  </si>
  <si>
    <t>Permafrost Site?</t>
  </si>
  <si>
    <t>Yes</t>
  </si>
  <si>
    <t>No</t>
  </si>
  <si>
    <t>Subsystem, DAS, DFIR Fiber</t>
  </si>
  <si>
    <t>Staff Gauge</t>
  </si>
  <si>
    <t>Subsystem, Wet Deposition Collector, Tower</t>
  </si>
  <si>
    <t>Particulate Site?</t>
  </si>
  <si>
    <t>Wet Dep Site?</t>
  </si>
  <si>
    <t>Gas Tubing</t>
  </si>
  <si>
    <t>Pressure transducer</t>
  </si>
  <si>
    <t>Enclosure</t>
  </si>
  <si>
    <t>Grape Catawba</t>
  </si>
  <si>
    <t>Sensor Infrastructure</t>
  </si>
  <si>
    <t>Tower Top Environmental Enclosure</t>
  </si>
  <si>
    <t>Primary Precipiation, Field, Heated</t>
  </si>
  <si>
    <t>Primary Precipiation, Field, Non-Heated</t>
  </si>
  <si>
    <t>Grape 12VDC OZ</t>
  </si>
  <si>
    <t>Eddy Covariance Turbulent Exchange, Tower</t>
  </si>
  <si>
    <t>Eddy Covariance Turbulent Exchange, Hut</t>
  </si>
  <si>
    <t>Power Box Enclosure</t>
  </si>
  <si>
    <t>Comm Box Enclosure</t>
  </si>
  <si>
    <t>Primary Precipitation</t>
  </si>
  <si>
    <t xml:space="preserve">Primary Precipitation </t>
  </si>
  <si>
    <t>CF06790000</t>
  </si>
  <si>
    <t>CD01610000</t>
  </si>
  <si>
    <t>CD01620000</t>
  </si>
  <si>
    <t>Sensor Systems - Field</t>
  </si>
  <si>
    <t>CD06920000</t>
  </si>
  <si>
    <t>CD06940000</t>
  </si>
  <si>
    <t>Site Name</t>
  </si>
  <si>
    <t>Smithsonian Environmental Research Center</t>
  </si>
  <si>
    <t>Lenoir Landing</t>
  </si>
  <si>
    <t>??</t>
  </si>
  <si>
    <t>CD07020000</t>
  </si>
  <si>
    <t>Bin</t>
  </si>
  <si>
    <t>More</t>
  </si>
  <si>
    <t>Frequency</t>
  </si>
  <si>
    <t>Cumulative %</t>
  </si>
  <si>
    <t>Gas Profile Vapor Site</t>
  </si>
  <si>
    <t>Subsystem, Particulate Mass Analyzer</t>
  </si>
  <si>
    <t>Subsystem, Particulate Size Analyzer</t>
  </si>
  <si>
    <t>HJ15000000</t>
  </si>
  <si>
    <t>Assembly, Aquatics Field Power/Comms, Nonheated, Populated</t>
  </si>
  <si>
    <t>HJ14000000</t>
  </si>
  <si>
    <t>Subsystem, DAS, Hut, Exterior Camera</t>
  </si>
  <si>
    <t>Subsystem, Water Content Profile, Soil 2 Meter</t>
  </si>
  <si>
    <t xml:space="preserve">Assembly, Aquatics Field Power/Comms, Heated, Populated </t>
  </si>
  <si>
    <t>Flow Control Infrastructure</t>
  </si>
  <si>
    <t>Subsystem, Heat Flux, Soil 30 Foot</t>
  </si>
  <si>
    <t>0335540000</t>
  </si>
  <si>
    <t>CD07390042</t>
  </si>
  <si>
    <t>CD</t>
  </si>
  <si>
    <t>CB</t>
  </si>
  <si>
    <t>BA</t>
  </si>
  <si>
    <t>DA</t>
  </si>
  <si>
    <t>Tower Top EC Boom</t>
  </si>
  <si>
    <t>Tower Top Rad Boom</t>
  </si>
  <si>
    <t>SE Rad Boom Face</t>
  </si>
  <si>
    <t>CE07430000</t>
  </si>
  <si>
    <t>Gas Profile Orifice Size</t>
  </si>
  <si>
    <t>Soil - Heat Flux</t>
  </si>
  <si>
    <t>Wet Deposition</t>
  </si>
  <si>
    <t>Subsystem, Above Canopy Phenological Camera, Tower</t>
  </si>
  <si>
    <t>Subsystem, Understory / Snow Pack Phenological Camera, w/ Staff Gauge, Tower</t>
  </si>
  <si>
    <t>CF06900000</t>
  </si>
  <si>
    <t>ML4 Tower Section</t>
  </si>
  <si>
    <t>CD07930000</t>
  </si>
  <si>
    <t>CD07950000</t>
  </si>
  <si>
    <t>CD07980000</t>
  </si>
  <si>
    <t>CD07990000</t>
  </si>
  <si>
    <t>CD07990010</t>
  </si>
  <si>
    <t>CF08000000</t>
  </si>
  <si>
    <t>Soil CO2 per plot</t>
  </si>
  <si>
    <t>Subsystem, Tower Boom, Profile</t>
  </si>
  <si>
    <t>CD08170000</t>
  </si>
  <si>
    <t>CD08370000</t>
  </si>
  <si>
    <t>CF08370000</t>
  </si>
  <si>
    <t>CG08370000</t>
  </si>
  <si>
    <t>Subsystem, Temperature Profile, Soil, 2m</t>
  </si>
  <si>
    <t>Soil Water Content Profile</t>
  </si>
  <si>
    <t>Soil Temperature Profile</t>
  </si>
  <si>
    <t>Soil Throughfall</t>
  </si>
  <si>
    <t>Soil Radiation LW IR (Reflected)</t>
  </si>
  <si>
    <t>Soil Radiation IR Broadband - Biological Temperature</t>
  </si>
  <si>
    <t>CF07350000</t>
  </si>
  <si>
    <t>CF07380000</t>
  </si>
  <si>
    <t>Extreme Heated</t>
  </si>
  <si>
    <t>CE07430010</t>
  </si>
  <si>
    <t>Includes H2O analyzer, H2O ML manifold,  H2O Zero Air Grape and Zero Air bottle</t>
  </si>
  <si>
    <t>Power Supply</t>
  </si>
  <si>
    <t>Includes CO2 analyzer, gas bottles and manifold, mounting plate, CO2 ML manifold, Bulkhead plate (inside hut), grape plate and 2 grapes. PDUs, and temperature probes</t>
  </si>
  <si>
    <t>Additional grapes for towers &gt; 4 MLs (not for H2O Zero Air)</t>
  </si>
  <si>
    <t>Gas Profile Pump Altitude Type</t>
  </si>
  <si>
    <t>CD08710000</t>
  </si>
  <si>
    <t>CD08710010</t>
  </si>
  <si>
    <t>CD05790060</t>
  </si>
  <si>
    <t>CD05790070</t>
  </si>
  <si>
    <t>Subsystem, Aspirated Shield Single, Non-Heated, Combined, Level 1</t>
  </si>
  <si>
    <t>Subsystem, Aspirated Shield Single, Heated, Combined, Level 1</t>
  </si>
  <si>
    <t>Subsystem, Aspirated Shield Single, Non-Heated, Split Level 1</t>
  </si>
  <si>
    <t>Subsystem, Aspirated Shield Single, Heated, Split, Level 1</t>
  </si>
  <si>
    <t>CD05810050</t>
  </si>
  <si>
    <t>CD05810060</t>
  </si>
  <si>
    <t>CD05810070</t>
  </si>
  <si>
    <t>Subsystem, 2D Wind, Extreme Heated, Level 1, Heavy/Extreme</t>
  </si>
  <si>
    <t>Subsystem, 2D Wind, Extreme Heated, Level 1, Standard</t>
  </si>
  <si>
    <t>Subsystem, 2D Wind, Extreme Heated, Boom Mount</t>
  </si>
  <si>
    <t>CD05800040</t>
  </si>
  <si>
    <t>CD05800050</t>
  </si>
  <si>
    <t>Subsystem, Aspirated Shield Triple, Extreme Heated, Split</t>
  </si>
  <si>
    <t>Subsystem, Aspirated Shield Triple, Extreme Heated, Combined</t>
  </si>
  <si>
    <t>CD05790110</t>
  </si>
  <si>
    <t>Subsystem, Aspirated Shield Single, Extreme Heated, Combined, Level 1</t>
  </si>
  <si>
    <t>Subsystem, Aspirated Shield Single, Extreme Heated, Split, Level 1</t>
  </si>
  <si>
    <t>CD05790100</t>
  </si>
  <si>
    <t>CD05790090</t>
  </si>
  <si>
    <t>Subsystem, Aspirated Shield Single, Extreme Heated, Combined</t>
  </si>
  <si>
    <t>CD05790080</t>
  </si>
  <si>
    <t>Subsystem, Aspirated Shield Single, Extreme Heated, Split</t>
  </si>
  <si>
    <t>Subsystem, Tower Boom, Top, Left Pivot, Extreme</t>
  </si>
  <si>
    <t>Subsystem, Tower Boom, Top, Right Pivot, Extreme</t>
  </si>
  <si>
    <t>B-FY15-1</t>
  </si>
  <si>
    <t>A-FY14</t>
  </si>
  <si>
    <t>1-FY14</t>
  </si>
  <si>
    <t>0-FY13</t>
  </si>
  <si>
    <t>C-FY15-2</t>
  </si>
  <si>
    <t>D-FY15-3</t>
  </si>
  <si>
    <t>E-FY15-4</t>
  </si>
  <si>
    <t>Total Demand
(Non-HQ)</t>
  </si>
  <si>
    <t>12V Grape Count</t>
  </si>
  <si>
    <t>24V Grape count</t>
  </si>
  <si>
    <t>Zinfandel Grape Count</t>
  </si>
  <si>
    <t>OZ Grape count</t>
  </si>
  <si>
    <t>Catawba Grape count</t>
  </si>
  <si>
    <t>Subsystem, DAS, Hut, DFIR Fiber Connectivity Kit</t>
  </si>
  <si>
    <t>CE05560011</t>
  </si>
  <si>
    <t>Wind River</t>
  </si>
  <si>
    <t>Subsystem, Environmental Enclosure, Tower Top, Base</t>
  </si>
  <si>
    <t>Subsystem, Environmental Enclosure, Tower Top, Particulate</t>
  </si>
  <si>
    <t>Total MLS</t>
  </si>
  <si>
    <t>Non-TT MLs</t>
  </si>
  <si>
    <t>Profile MLs</t>
  </si>
  <si>
    <t>Apogee MLs</t>
  </si>
  <si>
    <t>BGMS Site?</t>
  </si>
  <si>
    <t>Soil CO2</t>
  </si>
  <si>
    <t>Subsystem, CO2, Soil - Depth 2-51 cm</t>
  </si>
  <si>
    <t>Subsystem, Eddy Covariance Turbulent Exchange, Hut, Flow Control</t>
  </si>
  <si>
    <t>Subsystem, Tower Boom, Top, Eddy Covariance Turbulent Exchange, Left Pivot</t>
  </si>
  <si>
    <t>Subsystem, Tower Boom, Top, Eddy Covariance Turbulent Exchange, Right Pivot</t>
  </si>
  <si>
    <t>Subsystem, Tower Boom, Top, Eddy Covariance Turbulent Exchange, Left Pivot, Extreme</t>
  </si>
  <si>
    <t>Subsystem, Tower Boom, Top, Eddy Covariance Turbulent Exchange, Right Pivot, Extreme</t>
  </si>
  <si>
    <t>CD07990020</t>
  </si>
  <si>
    <t>CD07990030</t>
  </si>
  <si>
    <t>CD08710020</t>
  </si>
  <si>
    <t>CD08710030</t>
  </si>
  <si>
    <t>Subsystem, Eddy Covariance Storage Exchange, Grape, Tower Standard Section</t>
  </si>
  <si>
    <t>Subsystem, Eddy Covariance Storage Exchange, Grape, Tower Heavy/Extreme Section</t>
  </si>
  <si>
    <t>Subsystem, Eddy Covariance Storage Exchange, Grape, Tower Top Section</t>
  </si>
  <si>
    <t>Subsystem, Eddy Covariance Storage Exchange, Tower Boom Air Inlet, ML1 arbor, No42</t>
  </si>
  <si>
    <t>Subsystem, Eddy Covariance Storage Exchange, Tower Boom Air Inlet, Profile Boom, No42</t>
  </si>
  <si>
    <t>Subsystem, Eddy Covariance Storage Exchange, Tower Boom Air Inlet, Tower Top, No42</t>
  </si>
  <si>
    <t>Subsystem, Eddy Covariance Storage Exchange, Hut, CO2 Analysis and Common Components</t>
  </si>
  <si>
    <t>Subsystem, Eddy Covariance Storage Exchange, Hut, Power Supply, Pumps</t>
  </si>
  <si>
    <t>Subsystem, Eddy Covariance Storage Exchange, Hut, Grape, Additional MLs</t>
  </si>
  <si>
    <t>CE07440000</t>
  </si>
  <si>
    <t>CE07450000</t>
  </si>
  <si>
    <t>CD07430000</t>
  </si>
  <si>
    <t>CD07430010</t>
  </si>
  <si>
    <t>CD07430020</t>
  </si>
  <si>
    <t>Eddy Covariance Storage Exchange, Tower</t>
  </si>
  <si>
    <t>Eddy Covariance Storage Exchange, Hut</t>
  </si>
  <si>
    <t>CE07470000</t>
  </si>
  <si>
    <t>CE07480000</t>
  </si>
  <si>
    <t>CD08020000</t>
  </si>
  <si>
    <t>CD08020010</t>
  </si>
  <si>
    <t>CD07440042</t>
  </si>
  <si>
    <t>CD07450042</t>
  </si>
  <si>
    <t>CG07180000</t>
  </si>
  <si>
    <t>CG07180010</t>
  </si>
  <si>
    <t>Subsystem, Primary Precipitation, Field, TIS Hut-Supported, Non-Heated</t>
  </si>
  <si>
    <t>Subsystem, Primary Precipitation, Field, TIS Hut-Supported, Heated</t>
  </si>
  <si>
    <t>Subsystem, PDS, Primary Precipitation, Non-Hut-Supported, Non-Heated</t>
  </si>
  <si>
    <t>Subsystem, PDS, Primary Precipitation, Non-Hut-Supported, Heated</t>
  </si>
  <si>
    <t>CG07220000</t>
  </si>
  <si>
    <t>CG07220010</t>
  </si>
  <si>
    <t>Subsystem, Eddy Covariance Storage Exchange, Hut, CO2 / H2O Analysis and Common Components</t>
  </si>
  <si>
    <t xml:space="preserve">Tubing, FEP .500 OD X .375 ID X .062 wall, 500' spool </t>
  </si>
  <si>
    <t>Assembly, Transducer Box Mount 2inch Rail</t>
  </si>
  <si>
    <t>CD02050010</t>
  </si>
  <si>
    <t>Assembly, Transducer Box Mount 2.5inch Rail</t>
  </si>
  <si>
    <t>CD02050020</t>
  </si>
  <si>
    <t>Assembly, Transducer Box Mount Top Rail</t>
  </si>
  <si>
    <t>CD02050030</t>
  </si>
  <si>
    <t>Subsystem, Eddy Covariance Turbulent Exchange, IRGA, Standard Right Side Mount</t>
  </si>
  <si>
    <t>Subsystem, Eddy Covariance Turbulent Exchange, IRGA, Standard Left Side Mount</t>
  </si>
  <si>
    <t>CD07950001</t>
  </si>
  <si>
    <t>Subsystem, Tower Boom, Profile, Wind River</t>
  </si>
  <si>
    <t>Subsystem, Tower Boom, Top, Right Pivot, Wind River</t>
  </si>
  <si>
    <t>Subsystem, Barometric Pressure, Wind River</t>
  </si>
  <si>
    <t>CD08710050</t>
  </si>
  <si>
    <t>CD05890020</t>
  </si>
  <si>
    <t>CD02050040</t>
  </si>
  <si>
    <t>Assembly, Transducer Box Mount 2inch Rail, Wind River</t>
  </si>
  <si>
    <t>Subsystem, Understory / Snow Pack Phenological Camera, w/ Staff Gauge, Tower, Wind River</t>
  </si>
  <si>
    <t>CD01620010</t>
  </si>
  <si>
    <t>0345650000</t>
  </si>
  <si>
    <t>Tubing, FEP, .250 OD X .188 ID X .031 wall, 500' spool</t>
  </si>
  <si>
    <t>PDS, Tower, Base</t>
  </si>
  <si>
    <t>PDS, Tower, Tower Top</t>
  </si>
  <si>
    <t>Assembly, Unistrut Radiation Mount</t>
  </si>
  <si>
    <t>PDS, Tower, Measurement Levels</t>
  </si>
  <si>
    <t>PDS- Soil Populated Arbors</t>
  </si>
  <si>
    <t>PDS - DFIR Device Post</t>
  </si>
  <si>
    <t>PDS - DFIR, Non-Hut Supported</t>
  </si>
  <si>
    <t>Portal Enclosure</t>
  </si>
  <si>
    <t>Exterior Camera</t>
  </si>
  <si>
    <t>Booms Tower - Top Pivot, Eddy Covariance Turbulent Exchange</t>
  </si>
  <si>
    <t>Booms, Tower, Level 1 Arbor</t>
  </si>
  <si>
    <t>Booms, Tower, Profile</t>
  </si>
  <si>
    <t>Booms, Tower, Top Pivot</t>
  </si>
  <si>
    <t>Booms, Tower, Top Pivot, EC-TE</t>
  </si>
  <si>
    <t>Barometric Pressure, Wind River</t>
  </si>
  <si>
    <t>Aspirated Shield Single, Non-Heated, Split, Level 1</t>
  </si>
  <si>
    <t>Aspirated Shield Single, Heated, Split, Level 1</t>
  </si>
  <si>
    <t>Aspirated Shield Single, Non-Heated, Combined, Level 1</t>
  </si>
  <si>
    <t>Aspirated Shield Single, Heated, Combined, Level 1</t>
  </si>
  <si>
    <t>Aspirated Shield Single, Extreme Heated, Split</t>
  </si>
  <si>
    <t xml:space="preserve">Aspirated Shield Single, Extreme Heated, Combined </t>
  </si>
  <si>
    <t>Aspirated Shield Single, Extreme Heated, Split, Level 1</t>
  </si>
  <si>
    <t>Aspirated Shield Single, Extreme Heated, Combined, Level 1</t>
  </si>
  <si>
    <t>Aspirated Shield Triple, Extreme Heated, Split</t>
  </si>
  <si>
    <t xml:space="preserve">Aspirated Shield Triple, Extreme Heated Combined </t>
  </si>
  <si>
    <t>South East Radiation, Core, Wind River</t>
  </si>
  <si>
    <t>Spectral Photometer, Extreme Heated, Corner Mount Universal</t>
  </si>
  <si>
    <t>Spectral Photometer, Corner Mount Universal, Wind River</t>
  </si>
  <si>
    <t>2D Wind, Extreme Heated, Boom Mount</t>
  </si>
  <si>
    <t>2D Wind, Extreme Heated, Level 1, Standard</t>
  </si>
  <si>
    <t>2D Wind, Extreme Heated, Level 1, Heavy/Extreme</t>
  </si>
  <si>
    <t>Phenology Camera, Wind River</t>
  </si>
  <si>
    <t>Snow Depth Camera, Wind River</t>
  </si>
  <si>
    <t>Tower Humidity Sensor, with grape, Wind River</t>
  </si>
  <si>
    <t>Wet Deposition Collector, Wind River</t>
  </si>
  <si>
    <t>Uppermost Heavy/Extreme Tower section</t>
  </si>
  <si>
    <t>Tower Base Section, Standard</t>
  </si>
  <si>
    <t>Tower Base Section, Heavy</t>
  </si>
  <si>
    <t>Tower Base Section, Extreme Heavy</t>
  </si>
  <si>
    <t>Tower Base Pivot Section</t>
  </si>
  <si>
    <t>Tower Mid Section, Standard</t>
  </si>
  <si>
    <t>Tower Mid Section, Heavy</t>
  </si>
  <si>
    <t>Tower Mid Section, Extreme Heavy</t>
  </si>
  <si>
    <t>Tower Top Section</t>
  </si>
  <si>
    <t>Tower Guy Anchors</t>
  </si>
  <si>
    <t>Cattle Fence, Soil PDS (Arbors and Soil Plot)</t>
  </si>
  <si>
    <t>Soil</t>
  </si>
  <si>
    <t>Booms, Tower</t>
  </si>
  <si>
    <t>Booms, Soil</t>
  </si>
  <si>
    <t>ML1 Long Arbor</t>
  </si>
  <si>
    <t>ML1 Short Arbor</t>
  </si>
  <si>
    <t>Profile</t>
  </si>
  <si>
    <t>Profile, Wind River</t>
  </si>
  <si>
    <t>Tower Top, Left Pivot</t>
  </si>
  <si>
    <t>Tower Top, Right Pivot</t>
  </si>
  <si>
    <t>Tower Top, Left Pivot, Extreme</t>
  </si>
  <si>
    <t>Tower Top, Right Pivot, Extreme</t>
  </si>
  <si>
    <t>Tower Top, Left Pivot, Wind River</t>
  </si>
  <si>
    <t>Tower Top, Right Pivot, Wind River</t>
  </si>
  <si>
    <t>Tower Top, Left Pivot, EC-TE</t>
  </si>
  <si>
    <t>Tower Top, Right Pivot, EC-TE</t>
  </si>
  <si>
    <t>Tower Top, Left Pivot, EC-TE, Extreme</t>
  </si>
  <si>
    <t>Tower Top, Right Pivot, EC-TE, Extreme</t>
  </si>
  <si>
    <t>Tower Top, Left Pivot, EC-TE, Wind River</t>
  </si>
  <si>
    <t>Tower Top, Right Pivot, EC-TE, Wind River</t>
  </si>
  <si>
    <t>Radiation Arbor, Plots 1/5</t>
  </si>
  <si>
    <t>Radiation Arbor, Plots 1/5, Extreme</t>
  </si>
  <si>
    <t>Radiation Arbor, Plot 3</t>
  </si>
  <si>
    <t>Radiation Arbor, Plot 3, Extreme</t>
  </si>
  <si>
    <t>Base</t>
  </si>
  <si>
    <t>Particulate</t>
  </si>
  <si>
    <t>Base, Wind River</t>
  </si>
  <si>
    <t>Turbulent Exchange, 3D Wind, Non-Heated</t>
  </si>
  <si>
    <t>Turbulent Exchange, 3D Wind, Heated</t>
  </si>
  <si>
    <t>Turbulent Exchange, 3D Wind, Heated, Wind River</t>
  </si>
  <si>
    <t>Turbulent Exchange, IRGA, Standard, Right</t>
  </si>
  <si>
    <t>Turbulent Exchange, IRGA, Standard, Left</t>
  </si>
  <si>
    <t>Turbulent Exchange, IRGA, Standard, Left, Wind River</t>
  </si>
  <si>
    <t>Eddy Covariance Storage Exchange</t>
  </si>
  <si>
    <t>Storage Exchange, Transducer Box, Tower Top Rail</t>
  </si>
  <si>
    <t>Storage Exchange, Transducer Box, 2in Rail, Wind River</t>
  </si>
  <si>
    <t>Storage Exchange, Transducer Box, 2.5in Rail, Wind River</t>
  </si>
  <si>
    <t>Storage Exchange, Transducer Box, Tower Top Rail, Wind River</t>
  </si>
  <si>
    <t>Storage Exchange, Grape, Tower Top Rail</t>
  </si>
  <si>
    <t>Storage Exchange, Grape, 2in Rail, Wind River</t>
  </si>
  <si>
    <t>Storage Exchange, Grape, 2.5in Rail, Wind River</t>
  </si>
  <si>
    <t>Storage Exchange, Grape, Tower Top Rail, Wind River</t>
  </si>
  <si>
    <t>Storage Exchange, Tower Base Junction Box</t>
  </si>
  <si>
    <t>Storage Exchange, Tower Base Junction Box, Wind River</t>
  </si>
  <si>
    <t>Storage Exchange, Gas Delivery, Hut to Tower</t>
  </si>
  <si>
    <t>Storage Exchange, Transducer Box, Standard Tower Section</t>
  </si>
  <si>
    <t>Storage Exchange, Transducer Box, Heavy/Extreme Tower Section</t>
  </si>
  <si>
    <t>Field</t>
  </si>
  <si>
    <t>Radiation Quantum Line Sensor</t>
  </si>
  <si>
    <t>Radiation LW IR</t>
  </si>
  <si>
    <t>Radiation IR Broadband</t>
  </si>
  <si>
    <t>Water Content Profile, Soil 3 Meter</t>
  </si>
  <si>
    <t>Temperature Profile, 2 meter</t>
  </si>
  <si>
    <t>Temperature Profile, 3 meter</t>
  </si>
  <si>
    <t>Throughfall Precipitation</t>
  </si>
  <si>
    <t xml:space="preserve">CO2, Depth 2cm - 51cm </t>
  </si>
  <si>
    <t>Storage Exchange, CO2 Analysis and Common Components</t>
  </si>
  <si>
    <t>Storage Exchange, H2O Analysis</t>
  </si>
  <si>
    <t>Storage Exchange, CO2 Measurement Level, Standard Altitude</t>
  </si>
  <si>
    <t>Storage Exchange, Grapes, Extra MLs</t>
  </si>
  <si>
    <t>Turbulent Exchange, Gas Delivery, Hut to Tower</t>
  </si>
  <si>
    <t>Turbulent Exchange, Flow Control</t>
  </si>
  <si>
    <t>South West Radiation, Split or Non-Heated Combined, Right</t>
  </si>
  <si>
    <t>South West Radiation, Heated, Combined, Right</t>
  </si>
  <si>
    <t>South West Radiation, Split or Non-Heated Combined, Left</t>
  </si>
  <si>
    <t>South West Radiation, Heated, Combined, Left</t>
  </si>
  <si>
    <t>Storage Exchange, Grape, Standard Tower Section</t>
  </si>
  <si>
    <t>Storage Exchange, Grape, Heavy/Extreme Tower Section</t>
  </si>
  <si>
    <t>Antenna</t>
  </si>
  <si>
    <t xml:space="preserve">Camera Sensor </t>
  </si>
  <si>
    <t>Communications Infrastructure</t>
  </si>
  <si>
    <t>Racks</t>
  </si>
  <si>
    <t>Power Box Internals</t>
  </si>
  <si>
    <t>Comm Box Internals</t>
  </si>
  <si>
    <t>Portal Internals</t>
  </si>
  <si>
    <t>Server</t>
  </si>
  <si>
    <t>Optical Patch Panel</t>
  </si>
  <si>
    <t>IP Phone</t>
  </si>
  <si>
    <t>KVM Switch</t>
  </si>
  <si>
    <t>Router</t>
  </si>
  <si>
    <t>Ethernet Switch</t>
  </si>
  <si>
    <t>IRGA Sensor</t>
  </si>
  <si>
    <t>H2O Analyzer</t>
  </si>
  <si>
    <t>CO2 Analyzer</t>
  </si>
  <si>
    <t>Particulate Size Analyzer Sensor</t>
  </si>
  <si>
    <t>Primary Shortwave Radiation Sensor</t>
  </si>
  <si>
    <t>Direct / Diffuse Shortwave Radiation Sensor</t>
  </si>
  <si>
    <t>Longwave IR Radiation Sensor</t>
  </si>
  <si>
    <t>Primary Precipitation Sensor</t>
  </si>
  <si>
    <t>Aspirated Shield</t>
  </si>
  <si>
    <t>Quantum Line PAR Sensor</t>
  </si>
  <si>
    <t>Biological IR Radiation Sensor</t>
  </si>
  <si>
    <t>Secondary Precipitation Sensor</t>
  </si>
  <si>
    <t>3D Sonic Sensor</t>
  </si>
  <si>
    <t>Pump Infrastructure</t>
  </si>
  <si>
    <t>Storage Exchange, Pump Infrastructure Power Supply</t>
  </si>
  <si>
    <t>3 Pump Infrastructures per supply</t>
  </si>
  <si>
    <t>Inlet (Size 0.042)</t>
  </si>
  <si>
    <t>Particulate Mass Analyzer Sensor</t>
  </si>
  <si>
    <t>Filter assembly</t>
  </si>
  <si>
    <t>Wet Deposition Sensor</t>
  </si>
  <si>
    <t>Collection Bottles</t>
  </si>
  <si>
    <t>Water Content Profile Sensor</t>
  </si>
  <si>
    <t>Soil CO2 sensor</t>
  </si>
  <si>
    <t>Gas Cylinder</t>
  </si>
  <si>
    <t>Double Fence</t>
  </si>
  <si>
    <t>Altar Foundation</t>
  </si>
  <si>
    <t>Cattle Fence, PDS</t>
  </si>
  <si>
    <t>Cattle Fence, Sensor</t>
  </si>
  <si>
    <t>Conduit, Conductors, and Fiber</t>
  </si>
  <si>
    <t>Fiber Interconnects</t>
  </si>
  <si>
    <t>Fiber / Rack interconnect</t>
  </si>
  <si>
    <t>Field Device Post, Non-Heated</t>
  </si>
  <si>
    <t>Field Device Post, Heated</t>
  </si>
  <si>
    <t>Non-Hut Supported, Non-Heated</t>
  </si>
  <si>
    <t>Non-Hut Supported, Heated</t>
  </si>
  <si>
    <t>Device Post</t>
  </si>
  <si>
    <t>Device Post, Extreme</t>
  </si>
  <si>
    <t>Populated Arbors</t>
  </si>
  <si>
    <t>Populated Arbors, Extreme</t>
  </si>
  <si>
    <t>Top Deck and Under Deck, Heated, Wind River</t>
  </si>
  <si>
    <t>Top Deck and Under Deck, Heated</t>
  </si>
  <si>
    <t>Top Deck and Under Deck, Unheated</t>
  </si>
  <si>
    <t>Passthrough, Wind River</t>
  </si>
  <si>
    <t>Passthrough</t>
  </si>
  <si>
    <t>Measurement Level, Heated, Wind River</t>
  </si>
  <si>
    <t>Measurement Level, Heated</t>
  </si>
  <si>
    <t>Measurement Level, Unheated</t>
  </si>
  <si>
    <t>PDS, Hut</t>
  </si>
  <si>
    <t>Base, Pass Through Above, Unheated</t>
  </si>
  <si>
    <t>Base, Pass Through Above, Heated</t>
  </si>
  <si>
    <t>Base, Pass Through Above, Heated, Wind River</t>
  </si>
  <si>
    <t>Base, Measurement Level Above, Unheated</t>
  </si>
  <si>
    <t>Base, Measurement Level Above, Heated</t>
  </si>
  <si>
    <t>South East Radiation, Single</t>
  </si>
  <si>
    <t>Net Radiation Sensor</t>
  </si>
  <si>
    <t>Site Heating</t>
  </si>
  <si>
    <t>Site Status</t>
  </si>
  <si>
    <t>SiteID</t>
  </si>
  <si>
    <t>Site Configuration</t>
  </si>
  <si>
    <t>Tower configuration</t>
  </si>
  <si>
    <t>Tower Boom Configuration</t>
  </si>
  <si>
    <t>Tower Top Layout</t>
  </si>
  <si>
    <t>Tower Sensor Configuration</t>
  </si>
  <si>
    <t>Soil Array Configuration</t>
  </si>
  <si>
    <t>Tower Info</t>
  </si>
  <si>
    <t>Foundation Height</t>
  </si>
  <si>
    <t>ML Tower Section</t>
  </si>
  <si>
    <t>Booms Per Tower Section</t>
  </si>
  <si>
    <t>PDS By Tower Section</t>
  </si>
  <si>
    <t>Design GL to concrete top meas. (in)</t>
  </si>
  <si>
    <t>Estimated GL to flange top (in)</t>
  </si>
  <si>
    <t>Measured GL to flange top (in)</t>
  </si>
  <si>
    <t>GL to bottom of flange (ft)</t>
  </si>
  <si>
    <t># MLs</t>
  </si>
  <si>
    <t>Height ML1 (m)</t>
  </si>
  <si>
    <t>Height ML2 (m)</t>
  </si>
  <si>
    <t>Height ML3 (m)</t>
  </si>
  <si>
    <t>Height ML4 (m)</t>
  </si>
  <si>
    <t>Height ML5 (m)</t>
  </si>
  <si>
    <t>Height ML6 (m)</t>
  </si>
  <si>
    <t>Height ML7 (m)</t>
  </si>
  <si>
    <t>Height ML8 (m)</t>
  </si>
  <si>
    <t>ML1 Tower Section</t>
  </si>
  <si>
    <t>ML2 Tower Section</t>
  </si>
  <si>
    <t>ML3 Tower Section</t>
  </si>
  <si>
    <t>ML5 Tower section</t>
  </si>
  <si>
    <t>ML6 Tower Section</t>
  </si>
  <si>
    <t>ML7 Tower Section</t>
  </si>
  <si>
    <t>ML8 Tower Section</t>
  </si>
  <si>
    <t>Tower Section 1</t>
  </si>
  <si>
    <t>Tower Section 2</t>
  </si>
  <si>
    <t>Tower Section 3</t>
  </si>
  <si>
    <t>Tower Section 4</t>
  </si>
  <si>
    <t>Tower Section 5</t>
  </si>
  <si>
    <t>Tower Section 6</t>
  </si>
  <si>
    <t>Tower Section 7</t>
  </si>
  <si>
    <t>Tower Section 8</t>
  </si>
  <si>
    <t>Tower Section 9</t>
  </si>
  <si>
    <t>Tower Section 10</t>
  </si>
  <si>
    <t>Tower Section 11</t>
  </si>
  <si>
    <t>Tower Section 12</t>
  </si>
  <si>
    <t>Tower Section 13</t>
  </si>
  <si>
    <t>Tower Section 14</t>
  </si>
  <si>
    <t>Tower Section 15</t>
  </si>
  <si>
    <t>Tower Section 16</t>
  </si>
  <si>
    <t>Tower Section 17</t>
  </si>
  <si>
    <t>Tower Section 18</t>
  </si>
  <si>
    <t>Tower Section 19</t>
  </si>
  <si>
    <t>Base, Pass-Thru Above (Non-heated)</t>
  </si>
  <si>
    <t>Base, Pass-Thru Above (Heated)</t>
  </si>
  <si>
    <t>Base, ML Above 
(Non-heated)</t>
  </si>
  <si>
    <t>Base, ML Above (Heated)</t>
  </si>
  <si>
    <t>Tower ML (Non-heated)</t>
  </si>
  <si>
    <t>Tower ML (Heated)</t>
  </si>
  <si>
    <t>Tower Pass-Thru</t>
  </si>
  <si>
    <t>Tower Top (Non-heated)</t>
  </si>
  <si>
    <t>Tower Top (Heated)</t>
  </si>
  <si>
    <t>Tower Section 1 Type</t>
  </si>
  <si>
    <t>Tower Section 2 Type</t>
  </si>
  <si>
    <t>Tower Section 3 Type</t>
  </si>
  <si>
    <t>Tower Section 4 Type</t>
  </si>
  <si>
    <t>Tower Section 5 Type</t>
  </si>
  <si>
    <t>Tower Section 6 Type</t>
  </si>
  <si>
    <t>Tower Section 7 Type</t>
  </si>
  <si>
    <t>Tower Section 8 Type</t>
  </si>
  <si>
    <t>Tower Section 9 Type</t>
  </si>
  <si>
    <t>Tower Section 10 Type</t>
  </si>
  <si>
    <t>Tower Section 11 Type</t>
  </si>
  <si>
    <t>Tower Section 12 Type</t>
  </si>
  <si>
    <t>Tower Section 13 Type</t>
  </si>
  <si>
    <t>Tower Section 14 Type</t>
  </si>
  <si>
    <t>Tower Section 15 Type</t>
  </si>
  <si>
    <t>Tower Section 16 Type</t>
  </si>
  <si>
    <t>Tower Section 17 Type</t>
  </si>
  <si>
    <t>Tower Section 18 Type</t>
  </si>
  <si>
    <t>Heavy/ Extreme ML Count</t>
  </si>
  <si>
    <t>Cusp ML Count</t>
  </si>
  <si>
    <t>Standard ML Count</t>
  </si>
  <si>
    <t>Tower Top ML Count</t>
  </si>
  <si>
    <t>Total ML count</t>
  </si>
  <si>
    <t>B, p-thru above</t>
  </si>
  <si>
    <t>B, ML above</t>
  </si>
  <si>
    <t>p-thru</t>
  </si>
  <si>
    <t>ML</t>
  </si>
  <si>
    <t>TOP</t>
  </si>
  <si>
    <t>&gt;8</t>
  </si>
  <si>
    <t>&gt;10</t>
  </si>
  <si>
    <t>8&lt;x&lt;10</t>
  </si>
  <si>
    <t>&gt;0</t>
  </si>
  <si>
    <t>Tower Support Type</t>
  </si>
  <si>
    <t>Site Idenfier</t>
  </si>
  <si>
    <t>Not Sourced by Production (Sourced by I&amp;V, IT, etc.)</t>
  </si>
  <si>
    <t>Design not Released through FPDR yet  (IPT Process is incomplete)</t>
  </si>
  <si>
    <t>Design Released through FPDR but not in Agile (ENG/I&amp;V to Release ECOs)</t>
  </si>
  <si>
    <t>Soft Site - unknown configuration (Permitting work remaining)</t>
  </si>
  <si>
    <t>N/A for this Site</t>
  </si>
  <si>
    <t>Design Phase</t>
  </si>
  <si>
    <t>Uvifera Grape count</t>
  </si>
  <si>
    <t>Smithsonian Conservation Biology Institute</t>
  </si>
  <si>
    <r>
      <t xml:space="preserve">SiteID
</t>
    </r>
    <r>
      <rPr>
        <b/>
        <sz val="8"/>
        <color theme="1"/>
        <rFont val="Calibri"/>
        <family val="2"/>
        <scheme val="minor"/>
      </rPr>
      <t>DOC.002649</t>
    </r>
  </si>
  <si>
    <t>Central Plains Experimental Range</t>
  </si>
  <si>
    <t xml:space="preserve">LBJ National Grassland </t>
  </si>
  <si>
    <t>Yellowstone Northern Range (Frog Rock)</t>
  </si>
  <si>
    <t>Caribou Creek - Poker Flats Watershed</t>
  </si>
  <si>
    <t>Steigerwaldt Land Services</t>
  </si>
  <si>
    <t>The University of Kansas Field Station</t>
  </si>
  <si>
    <t>Mountain Lake Biological Station</t>
  </si>
  <si>
    <t>Rocky Mountain National Park, CASTNET</t>
  </si>
  <si>
    <t>Moab</t>
  </si>
  <si>
    <t>Barrow Environmental Observatory</t>
  </si>
  <si>
    <t>Best Guess, but some uncertainty (FIU needs to clarify)</t>
  </si>
  <si>
    <t>Released Design and Firm Site, but unknown Site Config (FIU needs to specify)</t>
  </si>
  <si>
    <t>Healy (Eight Mile)</t>
  </si>
  <si>
    <t>CD07340000</t>
  </si>
  <si>
    <t xml:space="preserve">Assembly, Kit Tower Base Gas Box </t>
  </si>
  <si>
    <t>Subsystem, Eddy Covariance Storage Exchange, Tower Boom Air Inlet, ML1 arbor, Heated, No42</t>
  </si>
  <si>
    <t>Subsystem, Eddy Covariance Storage Exchange, Tower Boom Air Inlet, Profile Boom, Heated, No42</t>
  </si>
  <si>
    <t>Subsystem, Eddy Covariance Storage Exchange, Tower Boom Air Inlet, Tower Top, Heated, No42</t>
  </si>
  <si>
    <t>CD07390142</t>
  </si>
  <si>
    <t>CD07440142</t>
  </si>
  <si>
    <t>CD07450142</t>
  </si>
  <si>
    <t>Safety Factor</t>
  </si>
  <si>
    <t>Count of 1/4" Lines from Hut to Tower</t>
  </si>
  <si>
    <t>Feature</t>
  </si>
  <si>
    <t>Constants</t>
  </si>
  <si>
    <t>Value</t>
  </si>
  <si>
    <t>Instrument Hut Service Loop Distance (ft)</t>
  </si>
  <si>
    <t>Instrument Hut Internal Routing length (ft)</t>
  </si>
  <si>
    <t>Instrument Hut External Conduit length (ft)</t>
  </si>
  <si>
    <t>Environmental Enclosure routing length (ft)</t>
  </si>
  <si>
    <t>"C" Face to Transducer Box (1/2" Line) length (ft)</t>
  </si>
  <si>
    <t>Transducer Box to End of Boom length (ft)</t>
  </si>
  <si>
    <t>Tower Base Junction Box Internal length (ft)</t>
  </si>
  <si>
    <t>Xducer Box Ht ML1 (ft)</t>
  </si>
  <si>
    <t>Xducer Box Ht ML2 (ft)</t>
  </si>
  <si>
    <t>Xducer Box Ht ML3 (ft)</t>
  </si>
  <si>
    <t>Xducer Box Ht ML4 (ft)</t>
  </si>
  <si>
    <t>Xducer Box Ht ML5 (ft)</t>
  </si>
  <si>
    <t>Xducer Box Ht ML6 (ft)</t>
  </si>
  <si>
    <t>Xducer Box Ht ML7 (ft)</t>
  </si>
  <si>
    <t>Xducer Box Ht ML8 (ft)</t>
  </si>
  <si>
    <t>Measurement Level Configuration</t>
  </si>
  <si>
    <t>Tower and Site Configuration</t>
  </si>
  <si>
    <t>Hut plate to Tower Base Box distance (ft)</t>
  </si>
  <si>
    <t>Total Hut To Tower Base</t>
  </si>
  <si>
    <t>Total Junction to Inlet - ML1</t>
  </si>
  <si>
    <t>Total Junction to Inlet - ML2</t>
  </si>
  <si>
    <t>Total Junction to Inlet - ML3</t>
  </si>
  <si>
    <t>Total Junction to Inlet - ML4</t>
  </si>
  <si>
    <t>Total Junction to Inlet - ML5</t>
  </si>
  <si>
    <t>Total Junction to Inlet - ML6</t>
  </si>
  <si>
    <t>Total Junction to Inlet - ML7</t>
  </si>
  <si>
    <t>Total Junction to Inlet - ML8</t>
  </si>
  <si>
    <t>EC-SE line lengths (1/2" tubing)</t>
  </si>
  <si>
    <t>Hut To Environmental Enclosure length (ft) - Single Run</t>
  </si>
  <si>
    <t>EC-TE line lengths (1/4" tubing)</t>
  </si>
  <si>
    <t>Hut to EE - Total Length w/ S.F. (ft)</t>
  </si>
  <si>
    <t>Total Length w/ S.F. (ft)</t>
  </si>
  <si>
    <t>Hut to EE - Total Raw Length (ft)</t>
  </si>
  <si>
    <t>Total Raw Length (ft)</t>
  </si>
  <si>
    <t>NA</t>
  </si>
  <si>
    <t>Change Record</t>
  </si>
  <si>
    <t>PREPARED BY</t>
  </si>
  <si>
    <t>ORGANIZATION</t>
  </si>
  <si>
    <t>DATE</t>
  </si>
  <si>
    <t>REVISION</t>
  </si>
  <si>
    <t>ECO #</t>
  </si>
  <si>
    <t>DESCRIPTION OF CHANGE</t>
  </si>
  <si>
    <t>Asa Akers</t>
  </si>
  <si>
    <t>RAMS</t>
  </si>
  <si>
    <t>A</t>
  </si>
  <si>
    <t>Initial Release</t>
  </si>
  <si>
    <t>APPROVALS</t>
  </si>
  <si>
    <t>RELEASED BY</t>
  </si>
  <si>
    <t>See configuration management system for approval history.</t>
  </si>
  <si>
    <t>Subsystem, DAS, Hut, Storage</t>
  </si>
  <si>
    <t>CE05560007</t>
  </si>
  <si>
    <t>CF00130000</t>
  </si>
  <si>
    <t>Kit, Soil Plot Power Arbour Extension, High Water</t>
  </si>
  <si>
    <t>High Water Level Soil Plots Site</t>
  </si>
  <si>
    <t>As-Built Heights</t>
  </si>
  <si>
    <t>Modified SCR Heights from HQ Discussions</t>
  </si>
  <si>
    <t>Tower FCC Design  % Completion (2/26/15)</t>
  </si>
  <si>
    <t>SCR Info and Boom Heights</t>
  </si>
  <si>
    <t>Tower has been built with PDS installed?</t>
  </si>
  <si>
    <t>SCR Canopy Height</t>
  </si>
  <si>
    <t>CD09080020</t>
  </si>
  <si>
    <t>Assembly, Kit, Rail Mount, 2.5 inch, Tower Heavy/Extreme section</t>
  </si>
  <si>
    <t>Subsystem, Eddy Covariance Storage Exchange, Hut, Measurement Level, CO2 and Pumps, Standard Altitude, 12-10 MFM connector</t>
  </si>
  <si>
    <t>Subsystem, Eddy Covariance Storage Exchange, Hut, Measurement Level, CO2 and Pumps, Standard Altitude, 12-8 MFM connector</t>
  </si>
  <si>
    <t>Cushioned tubed clamp, 0.5 (8/16) inch tube diameter, 0.75 (12/16) inch clamp size</t>
  </si>
  <si>
    <t>0347450008</t>
  </si>
  <si>
    <t>Soil Plot count</t>
  </si>
  <si>
    <t>Soil CO2 type</t>
  </si>
  <si>
    <t>GMP343</t>
  </si>
  <si>
    <t>No change for D20</t>
  </si>
  <si>
    <t>same sensor, but might need new mount</t>
  </si>
  <si>
    <t>Ventilation fan in lieu of HVAC</t>
  </si>
  <si>
    <t>For relo, this will be similar to MDP?  AQU Portal on the gorund with HVAC?</t>
  </si>
  <si>
    <t>MDP uses the same as TIS?</t>
  </si>
  <si>
    <t>If weight is a concern, we can reduce 2 to 1</t>
  </si>
  <si>
    <t>MDP version?</t>
  </si>
  <si>
    <t>Same as TIS</t>
  </si>
  <si>
    <t>Ask about MDP method of mounting, needs to live near orifice</t>
  </si>
  <si>
    <t>Ask about MDP method of mounting.  Does this need to be near transducer?</t>
  </si>
  <si>
    <t>If relo site neds this, use AIS version (CRE)</t>
  </si>
  <si>
    <t>If standardization is preferred, then use Licor.  Licor draws 36W.</t>
  </si>
  <si>
    <t>CE07410000</t>
  </si>
  <si>
    <t>Subsystem, Eddy Covariance Storage Exchange, Hut, Dehumidifer</t>
  </si>
  <si>
    <t>EC-SE Dehumidifier Site?</t>
  </si>
  <si>
    <t>ECO-02825</t>
  </si>
  <si>
    <t>Soil Temp site-specific config used?</t>
  </si>
  <si>
    <t>D01R1</t>
  </si>
  <si>
    <t>D02R2</t>
  </si>
  <si>
    <t>D02R1</t>
  </si>
  <si>
    <t>D03R1</t>
  </si>
  <si>
    <t>D03R2</t>
  </si>
  <si>
    <t>D04R1</t>
  </si>
  <si>
    <t>D05R1</t>
  </si>
  <si>
    <t>D05R2</t>
  </si>
  <si>
    <t>D06R2</t>
  </si>
  <si>
    <t>D06R1</t>
  </si>
  <si>
    <t>D07R2</t>
  </si>
  <si>
    <t>D07R1</t>
  </si>
  <si>
    <t>D08R1</t>
  </si>
  <si>
    <t>D08R2</t>
  </si>
  <si>
    <t>D09R1</t>
  </si>
  <si>
    <t>D09R2</t>
  </si>
  <si>
    <t>D10R1</t>
  </si>
  <si>
    <t>D10R2</t>
  </si>
  <si>
    <t>D11R1</t>
  </si>
  <si>
    <t>D13R1</t>
  </si>
  <si>
    <t>D14R1</t>
  </si>
  <si>
    <t>D16R2</t>
  </si>
  <si>
    <t>D17R2</t>
  </si>
  <si>
    <t>D17R1</t>
  </si>
  <si>
    <t>D18R1</t>
  </si>
  <si>
    <t>D19R1</t>
  </si>
  <si>
    <t>D19R3</t>
  </si>
  <si>
    <t>PM Code</t>
  </si>
  <si>
    <t>D01C</t>
  </si>
  <si>
    <t>D02C</t>
  </si>
  <si>
    <t>D03C</t>
  </si>
  <si>
    <t>D04C</t>
  </si>
  <si>
    <t>D05C</t>
  </si>
  <si>
    <t>D07C</t>
  </si>
  <si>
    <t>D08C</t>
  </si>
  <si>
    <t>D09C</t>
  </si>
  <si>
    <t>D10C</t>
  </si>
  <si>
    <t>D14C</t>
  </si>
  <si>
    <t>D15C</t>
  </si>
  <si>
    <t>D19C</t>
  </si>
  <si>
    <t>D06C</t>
  </si>
  <si>
    <t>D11C</t>
  </si>
  <si>
    <t>D12C</t>
  </si>
  <si>
    <t>D13C</t>
  </si>
  <si>
    <t>D16C</t>
  </si>
  <si>
    <t>D17C</t>
  </si>
  <si>
    <t>D18C</t>
  </si>
  <si>
    <t>D20C</t>
  </si>
  <si>
    <t>Current Config - Split and combined Sites</t>
  </si>
  <si>
    <t>Proposed Config - Combined Sites Only</t>
  </si>
  <si>
    <t>Delta for these 12 sites</t>
  </si>
  <si>
    <t>Delta for all 60 Sites</t>
  </si>
  <si>
    <t>Delta (Proposed Minus Current)</t>
  </si>
  <si>
    <t>Total Demand for all 60 Sites</t>
  </si>
  <si>
    <t>B</t>
  </si>
  <si>
    <t>ECO-03052</t>
  </si>
  <si>
    <t>Correction of PNs for some Soil Temperature Profile assemblies</t>
  </si>
  <si>
    <t>06/09/2015</t>
  </si>
  <si>
    <t>03/24/2015</t>
  </si>
  <si>
    <t>SCMB BASELINE - TIS SUBSYSTEM ARCHITECTURE, SITE CONFIGURATION AND SUBSYSYTEM DEMAND BY SITE</t>
  </si>
  <si>
    <t>Title: TIS Subsystem Architecture, Site Configuration and Subsystem Demand by Site - SCMB Baseline</t>
  </si>
  <si>
    <t>ECO-03268</t>
  </si>
  <si>
    <t>Revision</t>
  </si>
  <si>
    <t>Date of Change</t>
  </si>
  <si>
    <t>Description of Change</t>
  </si>
  <si>
    <t>EC-SE subsystem CD07920000 obsoleted and removed (3-axis Accel) since it's included in 3D Wind CD0793xxxx now</t>
  </si>
  <si>
    <t>Subsystems CD0793xxxx all versions renamed to include AMRS</t>
  </si>
  <si>
    <t>Site D11 WICH set to 26ft, self-supporting tower.  Tower PDS, booms and sensor demand updated</t>
  </si>
  <si>
    <t>AQMS renamed to BGMS, demand created for 15 sites per Trade Study dated 7/15/15</t>
  </si>
  <si>
    <t>Soft Site logic fixed for EC-SE subsystems CD07440042 and CD07440142 - demand updated for 3 soft sites (D04, D14, D15)</t>
  </si>
  <si>
    <t>Deleted EC-SE High Altitude subsystems CE07430100 and CD07430110 due to obsolesence with final design.</t>
  </si>
  <si>
    <t>Set D20 OLAA Tower height to 70ft, Self Supporting</t>
  </si>
  <si>
    <t>Added D12 YELL Tower Top config from Hongyan's Prelim data</t>
  </si>
  <si>
    <t>Extreme Heated Site but Standard Heat ATS/ATT?</t>
  </si>
  <si>
    <t>BARR</t>
  </si>
  <si>
    <t>NA-</t>
  </si>
  <si>
    <t>Subsystem, Eddy Covariance Turbulent Exchange, 3D Wind and AMRS, Non-Heated</t>
  </si>
  <si>
    <t>Removed EC-TE IRGA Extreme subsystem Right CD07950010 from demand as this IPT will not exist.  All demand from this line is now pooled into CD07950000.</t>
  </si>
  <si>
    <t>Removed EC-TE IRGA Extreme subsystem Left CD07950011 from demand as this IPT will not exist.  All demand from this line is now pooled into CD07950001.</t>
  </si>
  <si>
    <t>Reduced Subsystem 0347450008 from Qty 10/site to 5/site (EC-SE clamps) - JIRA NEON-138</t>
  </si>
  <si>
    <t>Added Subsystem 0347450004 at Qty 5/site for EC-TE clamps - JIRA NEON-138</t>
  </si>
  <si>
    <t>Reordered Sites in "TIS Site Demand" Sheet to match other sheets</t>
  </si>
  <si>
    <t>Update site names to align with Permitting changes in NEON.DOC.002649 - "BASC" is now "BARR"</t>
  </si>
  <si>
    <t>Clamp, Cushioned Tubed , 0.25 (4/16) inch tube diameter, strut mount</t>
  </si>
  <si>
    <t>0347450004</t>
  </si>
  <si>
    <t>Added CD07390242 (EC-SE Heated Inlet ML1 Shared Power) subsystem and logic.  This pulls from CD07390142 demand</t>
  </si>
  <si>
    <t>Subsystem, Eddy Covariance Storage Exchange, Tower Boom Air Inlet, ML1 arbor, Heated, Shared Power, No42</t>
  </si>
  <si>
    <t>CD07390242</t>
  </si>
  <si>
    <t>Removed Subsystem CD05820010 Extreme Heated Spectral Photometer from demand as this IPT will not exist per Laura Newton.  All demand from this line is pooled into CD05820000</t>
  </si>
  <si>
    <t>Deleted sites 13 sites: D01 SAWB, D04R2 Soft, D11 WICH, D12 BOZE, D12 PARA, D13 FRAS, D14R2 Soft, D15 RBUT, D16 THAY, D15R1 Soft, D19 POKE, D20 PUWU, D20 PUWI per NSF Scope Management Directive</t>
  </si>
  <si>
    <t>Deleted BGMS and Minirhizotron subsystems (CD08020020, CD08020030, CF09110000, and 5 TBD subsystems) per NSF Scope Management Directive</t>
  </si>
  <si>
    <t>Correction of D19 Healy Soil Temperature Profile Pipe subsystem PN from CF00611904 to CF00611907.</t>
  </si>
  <si>
    <t>Baro is 5.0m above reference flange</t>
  </si>
  <si>
    <t>Copied from Left</t>
  </si>
  <si>
    <t>Baro height (m) above reference Flange (ECO-02347)</t>
  </si>
  <si>
    <t>Tolerance +/- around ML to assume device is on that ML for LHDD (ft)</t>
  </si>
  <si>
    <t>Descending order for match formula to work</t>
  </si>
  <si>
    <t>Snow Camera height above Flange (m)</t>
  </si>
  <si>
    <t>LHDD 
Pheno Camera ML</t>
  </si>
  <si>
    <t>LHDD 
Snow Camera ML</t>
  </si>
  <si>
    <t>LHDD 
Baro 
ML</t>
  </si>
  <si>
    <t>Fixed cell color formatting issue for Extreme sites and subsystems that no longer have extreme versions (CD05820000, CD07950000, CD07950001)</t>
  </si>
  <si>
    <t>CF06810000</t>
  </si>
  <si>
    <t>Permafrost site?</t>
  </si>
  <si>
    <t>Added LHDD ML location for Baro, Snow Camera and Pheno Camera on "Tower Configuration" tab, columns DZ thorugh EU.</t>
  </si>
  <si>
    <t>Set HQ Tower domain to "D23" to match NEON IP naming structure</t>
  </si>
  <si>
    <t>D23</t>
  </si>
  <si>
    <t>Subsystem, Temperature Profile, Soil, 3m</t>
  </si>
  <si>
    <t>Add in Soil temperature 3m Subsystem CF06810000 version for all permafrost sites (D18, D19).  Some demand pulled from CF06790000.</t>
  </si>
  <si>
    <t>CF07360000</t>
  </si>
  <si>
    <t>Subsystem, Water Content Profile, Soil 3 Meter</t>
  </si>
  <si>
    <t>Updated CF06900000 Soil Throughfall Subsystem count at relocatable sites D03 JERC and D16 THAY.  In the original FIU list, Core sites had Qty 5 of this sensor and Relo sites had Qty 4.  These two relo sites were the exceptions that were originally slated for 5, but this was overlooked when the demand sheet was set up and needs to be corrected.  An assumption had been made that all Relo sites had Qty 4.   Both sheets were reviewed for further discrepancies and this was the only one found.</t>
  </si>
  <si>
    <t>Soil Throughfall per plot</t>
  </si>
  <si>
    <t>Add in Soil water content 3m Subsystem CF07360000 version for all permafrost sites (D18, D19). Some demand pulled from CF07350000.</t>
  </si>
  <si>
    <t>Storage Exchange, Gas Inlet, Tower Boom, ML1, Non-Heated, No 42</t>
  </si>
  <si>
    <t>Storage Exchange, Gas Inlet, Tower Boom, ML1, Heated, No 42</t>
  </si>
  <si>
    <t>Storage Exchange, Gas Inlet, Tower Boom, ML1, Heated, Shared Power, No 42</t>
  </si>
  <si>
    <t>Storage Exchange, Gas Inlet, Tower Boom, Profile, Heated, No 42</t>
  </si>
  <si>
    <t>Storage Exchange, Gas Inlet, Tower Boom, Profile, Non-Heated, No 42</t>
  </si>
  <si>
    <t>Storage Exchange, Gas Inlet, Tower Boom, Tower Top, Non-Heated, No 42</t>
  </si>
  <si>
    <t>Storage Exchange, Gas Inlet, Tower Boom, Tower Top, Heated, No 42</t>
  </si>
  <si>
    <t>Subsystem Level 1</t>
  </si>
  <si>
    <t>Subsystem Type</t>
  </si>
  <si>
    <t>Subsystem Group</t>
  </si>
  <si>
    <t>Subsystem Type Variation</t>
  </si>
  <si>
    <t>DAS, Hut</t>
  </si>
  <si>
    <t>Intra-Site Interconnects</t>
  </si>
  <si>
    <t>CG07220020</t>
  </si>
  <si>
    <t>CG07220030</t>
  </si>
  <si>
    <t>Subsystem, PDS, Primary Precipitation, Hut Fiber/Non-Hut Power, Non-Heated</t>
  </si>
  <si>
    <t>Subsystem, PDS, Primary Precipitation, Hut Fiber/Non-Hut Power, Heated</t>
  </si>
  <si>
    <t>DFIR Hut Support</t>
  </si>
  <si>
    <t>No Power, No Fiber</t>
  </si>
  <si>
    <t>Yes Power, Yes Fiber</t>
  </si>
  <si>
    <t>N/A</t>
  </si>
  <si>
    <t>No Power, Yes Fiber</t>
  </si>
  <si>
    <t>Edited configuration field for DFIR Hut support on TIS Site config Sheet (column H) to specify DFIR support</t>
  </si>
  <si>
    <t>Added Subsystems CG07220020 and CG07220030 for DFIRs with Hut Fiber and non-Hut power.  Pulled demand into these from neighboring subsystems CG07220000 and CG07220010 respectively.</t>
  </si>
  <si>
    <t>Turbulent Exchange, IRGA, Extreme, Right</t>
  </si>
  <si>
    <t>Turbulent Exchange, IRGA, Extreme, Left</t>
  </si>
  <si>
    <t>CD07950010</t>
  </si>
  <si>
    <t>CD07950011</t>
  </si>
  <si>
    <t>Subsystem, Eddy Covariance Turbulent Exchange, IRGA, Extreme, Right Side Mount</t>
  </si>
  <si>
    <t>Subsystem, Eddy Covariance Turbulent Exchange, IRGA, Extreme, Left Side Mount</t>
  </si>
  <si>
    <t>Added back in EC-TE IRGA Extreme subsystem Right CD07950010 to demand as this IPT will indeed exist.  Some demand from CD07950000 is now pulled into this subsystem.</t>
  </si>
  <si>
    <t>Added back in EC-TE IRGA Extreme subsystem Left CD07950011 to demand as this IPT will indeed exist.  Some demand from CD07950001 is now pulled into this subsystem.</t>
  </si>
  <si>
    <t>CF00140000</t>
  </si>
  <si>
    <t>Kit, Soil Plot Power Arbour Short Extension, Soil Temperature</t>
  </si>
  <si>
    <t>Added Architecture for Scope Mgmt Plan on Architecture tab (columns U thru AA)</t>
  </si>
  <si>
    <t>Added CF00140000 "Kit, Soil Plot Power Arbour Short Extension, Soil Temperature" with Qty5 per site per SI&amp;V.</t>
  </si>
  <si>
    <t>ECO-03469</t>
  </si>
  <si>
    <t>Descope sites and designs removed.</t>
  </si>
  <si>
    <t>Various, see change log</t>
  </si>
  <si>
    <t>E</t>
  </si>
  <si>
    <t>FAA Lighting System</t>
  </si>
  <si>
    <t>FAA Lights Required?</t>
  </si>
  <si>
    <t>L-810</t>
  </si>
  <si>
    <t>L-864/L-865</t>
  </si>
  <si>
    <t>Updated demand logic for CE05560011 "Subsystem, DAS, Hut, DFIR Fiber Connectivity Kit".  Now only core sites with hut power and fiber get this instead of all cores sites.  Total goes from 20 to 9.</t>
  </si>
  <si>
    <t>Water Content Profile, Soil 2 Meter, 2 Sensors</t>
  </si>
  <si>
    <t>Water Content Profile, Soil 2 Meter, 3 Sensors</t>
  </si>
  <si>
    <t>Water Content Profile, Soil 2 Meter, 4 Sensors</t>
  </si>
  <si>
    <t>Water Content Profile, Soil 2 Meter, 5 Sensors</t>
  </si>
  <si>
    <t>Water Content Profile, Soil 2 Meter, 6 Sensors</t>
  </si>
  <si>
    <t>Water Content Profile, Soil 2 Meter, 1 Sensor</t>
  </si>
  <si>
    <t>Added variable sensor configurations to soil water content profile architecture.</t>
  </si>
  <si>
    <t>Added FAA lighting to tower infrastructure architecture. This is not reflected in demand, as parts are sourced by FCC contractors.</t>
  </si>
  <si>
    <t>Renamed WREF IRGA assembly CD07950020 "Left Side Mount" to "Right Side Mount" and updated BOM in Agile to match.</t>
  </si>
  <si>
    <t>Swapped logic for left- and right-mount IRGA assemblies for both standard (CD07950000, CD07950001) and extreme (CD07950010, CD07950011) subsystems.</t>
  </si>
  <si>
    <t>Added "FAA lights required" column to site config tab.</t>
  </si>
  <si>
    <t>Stephen Craft</t>
  </si>
  <si>
    <t>PSE</t>
  </si>
  <si>
    <t>ECO-03661</t>
  </si>
  <si>
    <t>02/12/2016</t>
  </si>
  <si>
    <t>F</t>
  </si>
  <si>
    <t>Added one extra measurement level at D05 STEI and D16 ABBY.</t>
  </si>
  <si>
    <t>+1 ML at D05 STEI and D16 ABBY.</t>
  </si>
  <si>
    <t>ECO-03774</t>
  </si>
  <si>
    <t>03/18/2016</t>
  </si>
  <si>
    <t>G</t>
  </si>
  <si>
    <t>Combined and/or rotated booms at 27 sites per CR-0000092.</t>
  </si>
  <si>
    <t>Added +1 security camera subsystem (CA11540000) at all sites.</t>
  </si>
  <si>
    <t>Security Camera</t>
  </si>
  <si>
    <t>Miscellaneous</t>
  </si>
  <si>
    <t>Added security camera subsystem to architecture.</t>
  </si>
  <si>
    <t>Profile Boom Style</t>
  </si>
  <si>
    <t>Tower Top Boom Style</t>
  </si>
  <si>
    <t>Tower Top Temp Boom</t>
  </si>
  <si>
    <t>Split</t>
  </si>
  <si>
    <t>Combined</t>
  </si>
  <si>
    <t>CA11540000</t>
  </si>
  <si>
    <t>ECO-03840</t>
  </si>
  <si>
    <t>Implementing CR-90002, and adding security camera</t>
  </si>
  <si>
    <t>Date:  05/12/2016</t>
  </si>
  <si>
    <t>H</t>
  </si>
  <si>
    <t>Cattle Fencing?</t>
  </si>
  <si>
    <t>Added cattle fencing column to site configuration tab</t>
  </si>
  <si>
    <t>Change D20 OLAA to PUUM</t>
  </si>
  <si>
    <t>PUUM</t>
  </si>
  <si>
    <t>Pu'u Maka'ala Natural Area Reserve</t>
  </si>
  <si>
    <t>Subsystem, DAS, Portal, Timing</t>
  </si>
  <si>
    <t xml:space="preserve">HB08840000 </t>
  </si>
  <si>
    <t>Added portal GPS system (HB08840000) to demand at non-hut-supported DFIR sites</t>
  </si>
  <si>
    <t>Changed GUAN from No Power, No Fiber to No Power, Yes Fiber DFIR support (wireless connection to hut at GUAN)</t>
  </si>
  <si>
    <t>Removed all site-specific soil temp tube assemblies, as well as the universal tube assembly</t>
  </si>
  <si>
    <t>Author: S. Craft</t>
  </si>
  <si>
    <t>Various, see change log tab</t>
  </si>
  <si>
    <t>The National Ecological Observatory Network is a project solely funded by the National Science Foundation and managed under cooperative agreement by Battelle. Any opinions, findings, and conclusions or recommendations expressed in this material are those of the author(s) and do not necessarily reflect the views of the National Science Foundation.</t>
  </si>
  <si>
    <t>Updated PUUM configuration to best known info to date</t>
  </si>
  <si>
    <t>Removed throughfall at LAJA, NOGP, WOOD, DCFS, CPER, OAES, NIWO, MOAB, ONAQ, BARR, TOOL, and HEAL</t>
  </si>
  <si>
    <t>Added comments to document profile boom orientations</t>
  </si>
  <si>
    <t>Changed YELL from Split to Combined profile booms</t>
  </si>
  <si>
    <t>Removed heated CSAT subsystem; demand is now one unheated CSAT for every site</t>
  </si>
  <si>
    <t>Subsystem, Tower Boom, Long Arbor, Wind River</t>
  </si>
  <si>
    <t>CD00780040</t>
  </si>
  <si>
    <t>Released CD08170010 and CD00780040 boom subsystems for WREF</t>
  </si>
  <si>
    <t>Updated WREF tower-top boom configuration</t>
  </si>
  <si>
    <t>Updated WREF profile boom heights.</t>
  </si>
  <si>
    <t xml:space="preserve">CD01900010 </t>
  </si>
  <si>
    <t>Updated PN for WREF profile boom subsystem (CD01900010)</t>
  </si>
  <si>
    <t>Removed the following WREF-specific subsystems, and rolled demand into the applicable standard subsystems (includes tower-top and PDS subsystems that don't require WREF variants): CD05672010, CD05676010, CD05677010, CD05679010, CD08710040, CD08710050, CD07990040, CD07990050, CD08020040, CD05910020, CD05820020, CD05830020, CD01610010, CD07930020, CD07950020, CD02050050, CD02050060, CD07430030, CD07430040, CD07430050, CD07340010, CD06920010</t>
  </si>
  <si>
    <t>ECO-04246</t>
  </si>
  <si>
    <t>ECO-04551</t>
  </si>
  <si>
    <t>Corrected a logic issue where tower-top infrastructure and sensor systems still relied on the profile split/combined configuration to push demand. Logic for the following subsystems now refers to the correct (tower-top boom configuration instead of profile boom configuration) columns in the TIS Site Config tab: CD08710000, CD08710010, CD08710020, CD08710030, CD05800000, CD05800010, CD05800020, CD05800030, CD05800040, CD05800050, CD05920000, CD05920010, CD05920020, CD05920030</t>
  </si>
  <si>
    <t>J</t>
  </si>
  <si>
    <t>Revision: J</t>
  </si>
  <si>
    <t>Assembly, Level 1 Temperature Boom</t>
  </si>
  <si>
    <t xml:space="preserve">Andrea Thorpe </t>
  </si>
  <si>
    <t>SCI</t>
  </si>
  <si>
    <t>04/13/2017</t>
  </si>
  <si>
    <t>Larry Davidson</t>
  </si>
  <si>
    <t>PE</t>
  </si>
  <si>
    <t>04/20/2017</t>
  </si>
  <si>
    <t>Judy Salazar</t>
  </si>
  <si>
    <t xml:space="preserve">CM </t>
  </si>
  <si>
    <t>NEON Doc #:  NEON.DOC.002768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</si>
</sst>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09]d\-mmm\-yyyy;@"/>
    <numFmt numFmtId="165" formatCode="0.0"/>
    <numFmt numFmtId="166" formatCode="0.000"/>
    <numFmt numFmtId="167" formatCode="[$-409]d\-mmm;@"/>
    <numFmt numFmtId="168" formatCode="mm/d/yyyy"/>
    <numFmt numFmtId="169" formatCode="mm/dd/yyyy"/>
  </numFmts>
  <fonts count="49"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8"/>
      <color theme="1"/>
      <name val="Calibri"/>
      <family val="2"/>
      <scheme val="minor"/>
    </font>
    <font>
      <sz val="10"/>
      <name val="Arial"/>
      <family val="2"/>
    </font>
    <font>
      <b/>
      <sz val="9"/>
      <color indexed="81"/>
      <name val="Tahoma"/>
      <family val="2"/>
    </font>
    <font>
      <sz val="9"/>
      <color indexed="81"/>
      <name val="Tahoma"/>
      <family val="2"/>
    </font>
    <font>
      <sz val="10"/>
      <color rgb="FF000000"/>
      <name val="Times New Roman"/>
      <family val="1"/>
    </font>
    <font>
      <sz val="11"/>
      <color rgb="FF9C0006"/>
      <name val="Calibri"/>
      <family val="2"/>
      <scheme val="minor"/>
    </font>
    <font>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FF0000"/>
      <name val="Calibri"/>
      <family val="2"/>
      <scheme val="minor"/>
    </font>
    <font>
      <sz val="11"/>
      <color indexed="81"/>
      <name val="Tahoma"/>
      <family val="2"/>
    </font>
    <font>
      <b/>
      <sz val="11"/>
      <color indexed="81"/>
      <name val="Tahoma"/>
      <family val="2"/>
    </font>
    <font>
      <b/>
      <sz val="16"/>
      <color theme="1"/>
      <name val="Calibri"/>
      <family val="2"/>
      <scheme val="minor"/>
    </font>
    <font>
      <i/>
      <sz val="11"/>
      <color theme="1"/>
      <name val="Calibri"/>
      <family val="2"/>
      <scheme val="minor"/>
    </font>
    <font>
      <sz val="11"/>
      <color indexed="10"/>
      <name val="Tahoma"/>
      <family val="2"/>
    </font>
    <font>
      <u/>
      <sz val="11"/>
      <color theme="10"/>
      <name val="Calibri"/>
      <family val="2"/>
      <scheme val="minor"/>
    </font>
    <font>
      <b/>
      <sz val="8"/>
      <color theme="1"/>
      <name val="Calibri"/>
      <family val="2"/>
      <scheme val="minor"/>
    </font>
    <font>
      <u/>
      <sz val="10"/>
      <color indexed="12"/>
      <name val="Arial"/>
      <family val="2"/>
    </font>
    <font>
      <sz val="10"/>
      <color indexed="8"/>
      <name val="Arial"/>
      <family val="2"/>
    </font>
    <font>
      <sz val="11"/>
      <color indexed="8"/>
      <name val="Calibri"/>
      <family val="2"/>
    </font>
    <font>
      <sz val="12"/>
      <color theme="1"/>
      <name val="Calibri"/>
      <family val="2"/>
      <scheme val="minor"/>
    </font>
    <font>
      <sz val="8"/>
      <color theme="1"/>
      <name val="Calibri"/>
      <family val="2"/>
      <scheme val="minor"/>
    </font>
    <font>
      <sz val="11"/>
      <name val="Calibri"/>
      <family val="2"/>
    </font>
    <font>
      <sz val="7"/>
      <color theme="1"/>
      <name val="Calibri"/>
      <family val="2"/>
      <scheme val="minor"/>
    </font>
    <font>
      <sz val="4"/>
      <color theme="1"/>
      <name val="Calibri"/>
      <family val="2"/>
      <scheme val="minor"/>
    </font>
    <font>
      <sz val="6"/>
      <color theme="1"/>
      <name val="Calibri"/>
      <family val="2"/>
      <scheme val="minor"/>
    </font>
    <font>
      <sz val="16"/>
      <color theme="1"/>
      <name val="Calibri"/>
      <family val="2"/>
      <scheme val="minor"/>
    </font>
    <font>
      <sz val="8"/>
      <color rgb="FFD9D9D9"/>
      <name val="Calibri"/>
      <family val="2"/>
      <scheme val="minor"/>
    </font>
    <font>
      <b/>
      <sz val="26"/>
      <color theme="1"/>
      <name val="Calibri"/>
      <family val="2"/>
      <scheme val="minor"/>
    </font>
    <font>
      <b/>
      <sz val="14"/>
      <color theme="1"/>
      <name val="Calibri"/>
      <family val="2"/>
      <scheme val="minor"/>
    </font>
    <font>
      <sz val="9"/>
      <color indexed="81"/>
      <name val="Tahoma"/>
      <charset val="1"/>
    </font>
    <font>
      <b/>
      <sz val="9"/>
      <color indexed="81"/>
      <name val="Tahoma"/>
      <charset val="1"/>
    </font>
  </fonts>
  <fills count="63">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CCC0DA"/>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5B5B"/>
        <bgColor indexed="64"/>
      </patternFill>
    </fill>
    <fill>
      <patternFill patternType="solid">
        <fgColor theme="9" tint="-0.249977111117893"/>
        <bgColor indexed="64"/>
      </patternFill>
    </fill>
    <fill>
      <patternFill patternType="solid">
        <fgColor rgb="FFFFC00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FFFF66"/>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00FF00"/>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top/>
      <bottom style="medium">
        <color indexed="64"/>
      </bottom>
      <diagonal/>
    </border>
    <border>
      <left style="thin">
        <color indexed="64"/>
      </left>
      <right style="thin">
        <color indexed="64"/>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diagonal/>
    </border>
  </borders>
  <cellStyleXfs count="81">
    <xf numFmtId="0" fontId="0" fillId="0" borderId="0"/>
    <xf numFmtId="164" fontId="3" fillId="0" borderId="0"/>
    <xf numFmtId="164" fontId="3" fillId="0" borderId="0"/>
    <xf numFmtId="0" fontId="6" fillId="0" borderId="0"/>
    <xf numFmtId="0" fontId="9" fillId="0" borderId="0"/>
    <xf numFmtId="0" fontId="10" fillId="15" borderId="0" applyNumberFormat="0" applyBorder="0" applyAlignment="0" applyProtection="0"/>
    <xf numFmtId="0" fontId="12" fillId="0" borderId="0" applyNumberFormat="0" applyFill="0" applyBorder="0" applyAlignment="0" applyProtection="0"/>
    <xf numFmtId="0" fontId="13" fillId="0" borderId="95" applyNumberFormat="0" applyFill="0" applyAlignment="0" applyProtection="0"/>
    <xf numFmtId="0" fontId="14" fillId="0" borderId="96" applyNumberFormat="0" applyFill="0" applyAlignment="0" applyProtection="0"/>
    <xf numFmtId="0" fontId="15" fillId="0" borderId="97" applyNumberFormat="0" applyFill="0" applyAlignment="0" applyProtection="0"/>
    <xf numFmtId="0" fontId="15" fillId="0" borderId="0" applyNumberFormat="0" applyFill="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8" fillId="18" borderId="98" applyNumberFormat="0" applyAlignment="0" applyProtection="0"/>
    <xf numFmtId="0" fontId="19" fillId="19" borderId="99" applyNumberFormat="0" applyAlignment="0" applyProtection="0"/>
    <xf numFmtId="0" fontId="20" fillId="19" borderId="98" applyNumberFormat="0" applyAlignment="0" applyProtection="0"/>
    <xf numFmtId="0" fontId="21" fillId="0" borderId="100" applyNumberFormat="0" applyFill="0" applyAlignment="0" applyProtection="0"/>
    <xf numFmtId="0" fontId="22" fillId="20" borderId="101" applyNumberFormat="0" applyAlignment="0" applyProtection="0"/>
    <xf numFmtId="0" fontId="23" fillId="0" borderId="0" applyNumberFormat="0" applyFill="0" applyBorder="0" applyAlignment="0" applyProtection="0"/>
    <xf numFmtId="0" fontId="3" fillId="21" borderId="102" applyNumberFormat="0" applyFont="0" applyAlignment="0" applyProtection="0"/>
    <xf numFmtId="0" fontId="24" fillId="0" borderId="0" applyNumberFormat="0" applyFill="0" applyBorder="0" applyAlignment="0" applyProtection="0"/>
    <xf numFmtId="0" fontId="1" fillId="0" borderId="103" applyNumberFormat="0" applyFill="0" applyAlignment="0" applyProtection="0"/>
    <xf numFmtId="0" fontId="25"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5" fillId="45" borderId="0" applyNumberFormat="0" applyBorder="0" applyAlignment="0" applyProtection="0"/>
    <xf numFmtId="164" fontId="3" fillId="0" borderId="0"/>
    <xf numFmtId="0" fontId="6" fillId="0" borderId="0"/>
    <xf numFmtId="167" fontId="3" fillId="0" borderId="0"/>
    <xf numFmtId="164" fontId="3" fillId="0" borderId="0"/>
    <xf numFmtId="164" fontId="3" fillId="0" borderId="0"/>
    <xf numFmtId="164" fontId="3" fillId="0" borderId="0"/>
    <xf numFmtId="167" fontId="3" fillId="0" borderId="0"/>
    <xf numFmtId="164" fontId="3" fillId="0" borderId="0"/>
    <xf numFmtId="164" fontId="3" fillId="0" borderId="0"/>
    <xf numFmtId="0" fontId="32" fillId="0" borderId="0" applyNumberFormat="0" applyFill="0" applyBorder="0" applyAlignment="0" applyProtection="0"/>
    <xf numFmtId="0" fontId="34" fillId="0" borderId="0" applyNumberFormat="0" applyFill="0" applyBorder="0" applyAlignment="0" applyProtection="0">
      <alignment vertical="top"/>
      <protection locked="0"/>
    </xf>
    <xf numFmtId="0" fontId="6" fillId="0" borderId="0"/>
    <xf numFmtId="0" fontId="35" fillId="0" borderId="0"/>
    <xf numFmtId="0" fontId="6" fillId="0" borderId="0"/>
    <xf numFmtId="0" fontId="6" fillId="0" borderId="0"/>
    <xf numFmtId="0" fontId="34" fillId="0" borderId="0" applyNumberFormat="0" applyFill="0" applyBorder="0" applyAlignment="0" applyProtection="0">
      <alignment vertical="top"/>
      <protection locked="0"/>
    </xf>
    <xf numFmtId="0" fontId="3" fillId="52" borderId="4" applyProtection="0"/>
    <xf numFmtId="0" fontId="40" fillId="0" borderId="49">
      <alignment textRotation="90"/>
    </xf>
    <xf numFmtId="0" fontId="38" fillId="0" borderId="71">
      <alignment horizontal="center" textRotation="90"/>
    </xf>
    <xf numFmtId="0" fontId="41" fillId="0" borderId="72" applyFont="0">
      <alignment horizontal="center"/>
    </xf>
    <xf numFmtId="0" fontId="41" fillId="0" borderId="74" applyFont="0"/>
    <xf numFmtId="0" fontId="42" fillId="0" borderId="112">
      <alignment horizontal="center" textRotation="90"/>
    </xf>
    <xf numFmtId="0" fontId="41" fillId="54" borderId="0"/>
    <xf numFmtId="0" fontId="41" fillId="0" borderId="1" applyFill="0"/>
    <xf numFmtId="0" fontId="40" fillId="0" borderId="0">
      <alignment horizontal="center" textRotation="90"/>
    </xf>
    <xf numFmtId="0" fontId="41" fillId="0" borderId="1" applyFill="0"/>
    <xf numFmtId="0" fontId="6" fillId="0" borderId="0"/>
    <xf numFmtId="0" fontId="3" fillId="0" borderId="0"/>
    <xf numFmtId="0" fontId="35" fillId="0" borderId="0"/>
    <xf numFmtId="0" fontId="35" fillId="0" borderId="0"/>
    <xf numFmtId="0" fontId="35" fillId="0" borderId="0"/>
    <xf numFmtId="0" fontId="6" fillId="0" borderId="0"/>
    <xf numFmtId="0" fontId="6" fillId="0" borderId="0"/>
    <xf numFmtId="0" fontId="6" fillId="0" borderId="0"/>
    <xf numFmtId="9" fontId="3" fillId="0" borderId="0" applyFont="0" applyFill="0" applyBorder="0" applyAlignment="0" applyProtection="0"/>
  </cellStyleXfs>
  <cellXfs count="1388">
    <xf numFmtId="0" fontId="0" fillId="0" borderId="0" xfId="0"/>
    <xf numFmtId="0" fontId="0" fillId="0" borderId="0" xfId="0" applyAlignment="1">
      <alignment horizontal="center"/>
    </xf>
    <xf numFmtId="0" fontId="0" fillId="0" borderId="0" xfId="0" applyAlignment="1">
      <alignment wrapText="1"/>
    </xf>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49" fontId="2" fillId="0" borderId="0" xfId="0" applyNumberFormat="1" applyFont="1" applyFill="1" applyBorder="1" applyAlignment="1">
      <alignment horizontal="center" vertical="center"/>
    </xf>
    <xf numFmtId="0" fontId="0" fillId="0" borderId="0" xfId="0"/>
    <xf numFmtId="0" fontId="0" fillId="0" borderId="0" xfId="0"/>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2" fillId="0" borderId="1" xfId="0" applyFont="1" applyFill="1" applyBorder="1" applyAlignment="1">
      <alignment horizontal="center" vertical="center"/>
    </xf>
    <xf numFmtId="49" fontId="0" fillId="0" borderId="0" xfId="0" applyNumberFormat="1" applyAlignment="1">
      <alignment vertical="center" wrapText="1"/>
    </xf>
    <xf numFmtId="0" fontId="2" fillId="0" borderId="3" xfId="0" applyFont="1" applyFill="1" applyBorder="1" applyAlignment="1">
      <alignment horizontal="center" vertical="center"/>
    </xf>
    <xf numFmtId="0" fontId="2" fillId="0" borderId="62" xfId="0" applyNumberFormat="1"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6"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0" fillId="0" borderId="0" xfId="0" applyAlignment="1">
      <alignment horizontal="center" wrapText="1"/>
    </xf>
    <xf numFmtId="0" fontId="5" fillId="8" borderId="31" xfId="0" applyFont="1" applyFill="1" applyBorder="1" applyAlignment="1">
      <alignment horizontal="center" wrapText="1"/>
    </xf>
    <xf numFmtId="0" fontId="0" fillId="0" borderId="0" xfId="0" applyFill="1" applyBorder="1" applyAlignment="1">
      <alignment vertical="center" wrapText="1"/>
    </xf>
    <xf numFmtId="0" fontId="0" fillId="0" borderId="0" xfId="0" applyFont="1"/>
    <xf numFmtId="0" fontId="0" fillId="0" borderId="0" xfId="0" applyFont="1" applyAlignment="1">
      <alignment wrapText="1"/>
    </xf>
    <xf numFmtId="0" fontId="0" fillId="0" borderId="1" xfId="0" applyFont="1" applyFill="1" applyBorder="1" applyAlignment="1">
      <alignment vertical="center" wrapText="1"/>
    </xf>
    <xf numFmtId="0" fontId="0" fillId="0" borderId="2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2" xfId="0" applyFont="1" applyFill="1" applyBorder="1" applyAlignment="1">
      <alignment horizontal="left" vertical="center" wrapText="1"/>
    </xf>
    <xf numFmtId="0" fontId="0" fillId="0" borderId="48" xfId="0" applyFont="1" applyFill="1" applyBorder="1" applyAlignment="1">
      <alignment horizontal="center" vertical="center"/>
    </xf>
    <xf numFmtId="0" fontId="0" fillId="0" borderId="35" xfId="0" applyFont="1" applyFill="1" applyBorder="1" applyAlignment="1">
      <alignment vertical="center" wrapText="1"/>
    </xf>
    <xf numFmtId="49" fontId="2" fillId="0" borderId="0" xfId="0" applyNumberFormat="1" applyFont="1" applyAlignment="1">
      <alignment horizontal="center" vertical="center"/>
    </xf>
    <xf numFmtId="0" fontId="0" fillId="0" borderId="2" xfId="0" applyFill="1" applyBorder="1" applyAlignment="1">
      <alignment horizontal="center" vertical="center"/>
    </xf>
    <xf numFmtId="0" fontId="2" fillId="0" borderId="0" xfId="0" applyFont="1" applyAlignment="1">
      <alignment vertical="center"/>
    </xf>
    <xf numFmtId="0" fontId="2" fillId="0" borderId="49" xfId="0" applyNumberFormat="1" applyFont="1" applyFill="1" applyBorder="1" applyAlignment="1">
      <alignment horizontal="center" vertical="center" wrapText="1"/>
    </xf>
    <xf numFmtId="0" fontId="2" fillId="0" borderId="61" xfId="0" applyNumberFormat="1" applyFont="1" applyFill="1" applyBorder="1" applyAlignment="1">
      <alignment horizontal="center" vertical="center" wrapText="1"/>
    </xf>
    <xf numFmtId="0" fontId="2" fillId="0" borderId="65"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0" fillId="0" borderId="0" xfId="0"/>
    <xf numFmtId="0" fontId="1" fillId="0" borderId="20" xfId="0" applyFont="1" applyFill="1" applyBorder="1" applyAlignment="1">
      <alignment horizontal="center" vertical="center" wrapText="1"/>
    </xf>
    <xf numFmtId="0" fontId="0" fillId="0" borderId="0" xfId="0"/>
    <xf numFmtId="0" fontId="0" fillId="0" borderId="0" xfId="0" applyAlignment="1">
      <alignment vertical="center"/>
    </xf>
    <xf numFmtId="0" fontId="1" fillId="0" borderId="20" xfId="0" applyFont="1" applyBorder="1" applyAlignment="1">
      <alignment horizontal="center" vertical="center" wrapText="1"/>
    </xf>
    <xf numFmtId="0" fontId="0" fillId="0" borderId="8" xfId="0" applyBorder="1" applyAlignment="1">
      <alignment horizontal="center" vertical="center"/>
    </xf>
    <xf numFmtId="0" fontId="0" fillId="0" borderId="23" xfId="0" applyFill="1" applyBorder="1" applyAlignment="1">
      <alignment horizontal="center" vertical="center"/>
    </xf>
    <xf numFmtId="0" fontId="0" fillId="0" borderId="0" xfId="0" applyAlignment="1">
      <alignment horizontal="center" vertical="center"/>
    </xf>
    <xf numFmtId="0" fontId="0" fillId="0" borderId="20" xfId="0" applyFont="1" applyFill="1" applyBorder="1" applyAlignment="1">
      <alignment horizontal="left" vertical="center"/>
    </xf>
    <xf numFmtId="0" fontId="0" fillId="0" borderId="2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 xfId="0" applyBorder="1" applyAlignment="1">
      <alignment wrapText="1"/>
    </xf>
    <xf numFmtId="0" fontId="0" fillId="0" borderId="6" xfId="0" applyNumberFormat="1" applyFont="1" applyFill="1" applyBorder="1" applyAlignment="1">
      <alignment vertical="center" wrapText="1"/>
    </xf>
    <xf numFmtId="0" fontId="2" fillId="0" borderId="80" xfId="0" applyNumberFormat="1" applyFont="1" applyFill="1" applyBorder="1" applyAlignment="1">
      <alignment horizontal="center" vertical="center" wrapText="1"/>
    </xf>
    <xf numFmtId="0" fontId="2" fillId="0" borderId="6" xfId="0" applyNumberFormat="1" applyFont="1" applyFill="1" applyBorder="1" applyAlignment="1">
      <alignment vertical="center" wrapText="1"/>
    </xf>
    <xf numFmtId="0" fontId="2" fillId="0" borderId="79" xfId="0" applyNumberFormat="1" applyFont="1" applyFill="1" applyBorder="1" applyAlignment="1">
      <alignment horizontal="center" vertical="center" wrapText="1"/>
    </xf>
    <xf numFmtId="0" fontId="2" fillId="0" borderId="13" xfId="0" applyNumberFormat="1" applyFont="1" applyFill="1" applyBorder="1" applyAlignment="1">
      <alignment vertical="center" wrapText="1"/>
    </xf>
    <xf numFmtId="0" fontId="2" fillId="0" borderId="74" xfId="0" applyNumberFormat="1" applyFont="1" applyFill="1" applyBorder="1" applyAlignment="1">
      <alignment horizontal="center" vertical="center" wrapText="1"/>
    </xf>
    <xf numFmtId="0" fontId="2" fillId="0" borderId="52" xfId="0" applyNumberFormat="1" applyFont="1" applyFill="1" applyBorder="1" applyAlignment="1">
      <alignment vertical="center" wrapText="1"/>
    </xf>
    <xf numFmtId="0" fontId="2" fillId="0" borderId="29" xfId="0" applyNumberFormat="1" applyFont="1" applyFill="1" applyBorder="1" applyAlignment="1">
      <alignment vertical="center" wrapText="1"/>
    </xf>
    <xf numFmtId="0" fontId="2" fillId="0" borderId="81" xfId="0" applyNumberFormat="1" applyFont="1" applyFill="1" applyBorder="1" applyAlignment="1">
      <alignment horizontal="center" vertical="center" wrapText="1"/>
    </xf>
    <xf numFmtId="0" fontId="0" fillId="0" borderId="30" xfId="0" applyNumberFormat="1" applyFont="1" applyFill="1" applyBorder="1" applyAlignment="1">
      <alignment vertical="center" wrapText="1"/>
    </xf>
    <xf numFmtId="0" fontId="0" fillId="0" borderId="26" xfId="0" applyNumberFormat="1" applyFont="1" applyFill="1" applyBorder="1" applyAlignment="1">
      <alignment vertical="center" wrapText="1"/>
    </xf>
    <xf numFmtId="0" fontId="2" fillId="0" borderId="85" xfId="0" applyNumberFormat="1" applyFont="1" applyFill="1" applyBorder="1" applyAlignment="1">
      <alignment horizontal="center" vertical="center" wrapText="1"/>
    </xf>
    <xf numFmtId="0" fontId="0" fillId="0" borderId="13" xfId="0" applyNumberFormat="1" applyFont="1" applyFill="1" applyBorder="1" applyAlignment="1">
      <alignment vertical="center" wrapText="1"/>
    </xf>
    <xf numFmtId="0" fontId="0" fillId="0" borderId="52" xfId="0" applyNumberFormat="1" applyFont="1" applyFill="1" applyBorder="1" applyAlignment="1">
      <alignment vertical="center" wrapText="1"/>
    </xf>
    <xf numFmtId="0" fontId="0" fillId="0" borderId="106" xfId="0" applyNumberFormat="1" applyFont="1" applyFill="1" applyBorder="1" applyAlignment="1">
      <alignment vertical="center" wrapText="1"/>
    </xf>
    <xf numFmtId="0" fontId="0" fillId="0" borderId="29" xfId="0" applyNumberFormat="1" applyFont="1" applyFill="1" applyBorder="1" applyAlignment="1">
      <alignment vertical="center" wrapText="1"/>
    </xf>
    <xf numFmtId="0" fontId="0" fillId="9" borderId="11" xfId="0" applyNumberFormat="1" applyFont="1" applyFill="1" applyBorder="1" applyAlignment="1">
      <alignment vertical="center" wrapText="1"/>
    </xf>
    <xf numFmtId="0" fontId="2" fillId="9" borderId="79" xfId="0" applyNumberFormat="1" applyFont="1" applyFill="1" applyBorder="1" applyAlignment="1">
      <alignment horizontal="center" vertical="center" wrapText="1"/>
    </xf>
    <xf numFmtId="0" fontId="0" fillId="0" borderId="27" xfId="0" applyNumberFormat="1" applyFont="1" applyFill="1" applyBorder="1" applyAlignment="1">
      <alignment vertical="center" wrapText="1"/>
    </xf>
    <xf numFmtId="0" fontId="0" fillId="0" borderId="56" xfId="0" applyNumberFormat="1" applyFont="1" applyFill="1" applyBorder="1" applyAlignment="1">
      <alignment vertical="center" wrapText="1"/>
    </xf>
    <xf numFmtId="0" fontId="0" fillId="0" borderId="12" xfId="0" applyNumberFormat="1" applyFont="1" applyFill="1" applyBorder="1" applyAlignment="1">
      <alignment vertical="center" wrapText="1"/>
    </xf>
    <xf numFmtId="0" fontId="0" fillId="0" borderId="0" xfId="0" applyNumberFormat="1" applyFont="1" applyAlignment="1">
      <alignment vertical="center" wrapText="1"/>
    </xf>
    <xf numFmtId="0" fontId="0" fillId="0" borderId="0" xfId="0" applyNumberFormat="1" applyFont="1" applyAlignment="1">
      <alignment horizontal="center" vertical="center" wrapText="1"/>
    </xf>
    <xf numFmtId="0" fontId="0" fillId="0" borderId="0" xfId="0" applyNumberFormat="1" applyAlignment="1">
      <alignment vertical="center" wrapText="1"/>
    </xf>
    <xf numFmtId="0" fontId="0" fillId="9" borderId="52" xfId="0" applyNumberFormat="1" applyFont="1" applyFill="1" applyBorder="1" applyAlignment="1">
      <alignment vertical="center" wrapText="1"/>
    </xf>
    <xf numFmtId="0" fontId="0" fillId="0" borderId="11" xfId="0" applyNumberFormat="1" applyFont="1" applyFill="1" applyBorder="1" applyAlignment="1">
      <alignment vertical="center" wrapText="1"/>
    </xf>
    <xf numFmtId="0" fontId="2" fillId="9" borderId="72" xfId="0" applyNumberFormat="1" applyFont="1" applyFill="1" applyBorder="1" applyAlignment="1">
      <alignment horizontal="center" vertical="center" wrapText="1"/>
    </xf>
    <xf numFmtId="49" fontId="2" fillId="0" borderId="79" xfId="0" applyNumberFormat="1" applyFont="1" applyFill="1" applyBorder="1" applyAlignment="1">
      <alignment horizontal="center" vertical="center" wrapText="1"/>
    </xf>
    <xf numFmtId="49" fontId="2" fillId="0" borderId="74" xfId="0" applyNumberFormat="1" applyFont="1" applyFill="1" applyBorder="1" applyAlignment="1">
      <alignment horizontal="center" vertical="center" wrapText="1"/>
    </xf>
    <xf numFmtId="49" fontId="0" fillId="0" borderId="13" xfId="0" applyNumberFormat="1" applyFont="1" applyFill="1" applyBorder="1" applyAlignment="1">
      <alignment vertical="center" wrapText="1"/>
    </xf>
    <xf numFmtId="49" fontId="2" fillId="9" borderId="74" xfId="0" applyNumberFormat="1" applyFont="1" applyFill="1" applyBorder="1" applyAlignment="1">
      <alignment horizontal="center" vertical="center" wrapText="1"/>
    </xf>
    <xf numFmtId="49" fontId="2" fillId="9" borderId="80" xfId="0" applyNumberFormat="1" applyFont="1" applyFill="1" applyBorder="1" applyAlignment="1">
      <alignment horizontal="center" vertical="center" wrapText="1"/>
    </xf>
    <xf numFmtId="0" fontId="0" fillId="0" borderId="77" xfId="0" applyNumberFormat="1" applyFont="1" applyFill="1" applyBorder="1" applyAlignment="1">
      <alignment horizontal="center" vertical="center" wrapText="1"/>
    </xf>
    <xf numFmtId="0" fontId="0" fillId="0" borderId="79" xfId="0" applyNumberFormat="1" applyFont="1" applyFill="1" applyBorder="1" applyAlignment="1">
      <alignment horizontal="center" vertical="center" wrapText="1"/>
    </xf>
    <xf numFmtId="0" fontId="0" fillId="0" borderId="74" xfId="0" applyNumberFormat="1" applyFont="1" applyFill="1" applyBorder="1" applyAlignment="1">
      <alignment horizontal="center" vertical="center" wrapText="1"/>
    </xf>
    <xf numFmtId="0" fontId="0" fillId="0" borderId="85" xfId="0" applyNumberFormat="1" applyFont="1" applyFill="1" applyBorder="1" applyAlignment="1">
      <alignment horizontal="center" vertical="center" wrapText="1"/>
    </xf>
    <xf numFmtId="0" fontId="0" fillId="0" borderId="82" xfId="0" applyNumberFormat="1" applyFont="1" applyFill="1" applyBorder="1" applyAlignment="1">
      <alignment horizontal="center" vertical="center" wrapText="1"/>
    </xf>
    <xf numFmtId="0" fontId="0" fillId="0" borderId="80" xfId="0" applyNumberFormat="1" applyFont="1" applyFill="1" applyBorder="1" applyAlignment="1">
      <alignment horizontal="center" vertical="center" wrapText="1"/>
    </xf>
    <xf numFmtId="0" fontId="0" fillId="0" borderId="81" xfId="0" applyNumberFormat="1" applyFont="1" applyFill="1" applyBorder="1" applyAlignment="1">
      <alignment horizontal="center" vertical="center" wrapText="1"/>
    </xf>
    <xf numFmtId="0" fontId="0" fillId="0" borderId="72" xfId="0" applyNumberFormat="1" applyFont="1" applyFill="1" applyBorder="1" applyAlignment="1">
      <alignment horizontal="center" vertical="center" wrapText="1"/>
    </xf>
    <xf numFmtId="0" fontId="0" fillId="0" borderId="84"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wrapText="1"/>
    </xf>
    <xf numFmtId="0" fontId="0" fillId="0" borderId="9" xfId="0" applyFill="1" applyBorder="1" applyAlignment="1">
      <alignment horizontal="center" vertical="center"/>
    </xf>
    <xf numFmtId="49" fontId="4" fillId="10" borderId="19" xfId="0" applyNumberFormat="1" applyFont="1" applyFill="1" applyBorder="1" applyAlignment="1">
      <alignment horizontal="center" vertical="center"/>
    </xf>
    <xf numFmtId="49" fontId="4" fillId="10" borderId="65" xfId="0" applyNumberFormat="1" applyFont="1" applyFill="1" applyBorder="1" applyAlignment="1">
      <alignment horizontal="center" vertical="center"/>
    </xf>
    <xf numFmtId="49" fontId="1" fillId="10" borderId="30" xfId="0" applyNumberFormat="1" applyFont="1" applyFill="1" applyBorder="1" applyAlignment="1">
      <alignment horizontal="center"/>
    </xf>
    <xf numFmtId="49" fontId="1" fillId="10" borderId="65" xfId="0" applyNumberFormat="1" applyFont="1" applyFill="1" applyBorder="1" applyAlignment="1">
      <alignment horizontal="center"/>
    </xf>
    <xf numFmtId="49" fontId="1" fillId="10" borderId="33" xfId="0" applyNumberFormat="1" applyFont="1" applyFill="1" applyBorder="1" applyAlignment="1">
      <alignment horizontal="center"/>
    </xf>
    <xf numFmtId="49" fontId="1" fillId="10" borderId="88" xfId="0" applyNumberFormat="1" applyFont="1" applyFill="1" applyBorder="1" applyAlignment="1">
      <alignment horizontal="center"/>
    </xf>
    <xf numFmtId="49" fontId="1" fillId="10" borderId="19" xfId="0" applyNumberFormat="1" applyFont="1" applyFill="1" applyBorder="1" applyAlignment="1">
      <alignment horizontal="center"/>
    </xf>
    <xf numFmtId="49" fontId="1" fillId="10" borderId="78" xfId="0" applyNumberFormat="1" applyFont="1" applyFill="1" applyBorder="1" applyAlignment="1">
      <alignment horizontal="center"/>
    </xf>
    <xf numFmtId="49" fontId="1" fillId="10" borderId="44" xfId="0" applyNumberFormat="1" applyFont="1" applyFill="1" applyBorder="1" applyAlignment="1">
      <alignment horizontal="center"/>
    </xf>
    <xf numFmtId="49" fontId="0" fillId="0" borderId="0" xfId="0" applyNumberFormat="1"/>
    <xf numFmtId="49" fontId="2" fillId="0" borderId="80" xfId="0" applyNumberFormat="1" applyFont="1" applyFill="1" applyBorder="1" applyAlignment="1">
      <alignment horizontal="center" vertical="center" wrapText="1"/>
    </xf>
    <xf numFmtId="49" fontId="2" fillId="0" borderId="81" xfId="0" applyNumberFormat="1" applyFont="1" applyFill="1" applyBorder="1" applyAlignment="1">
      <alignment horizontal="center" vertical="center" wrapText="1"/>
    </xf>
    <xf numFmtId="49" fontId="2" fillId="0" borderId="77" xfId="0" applyNumberFormat="1" applyFont="1" applyFill="1" applyBorder="1" applyAlignment="1">
      <alignment horizontal="center" vertical="center" wrapText="1"/>
    </xf>
    <xf numFmtId="49" fontId="2" fillId="0" borderId="72" xfId="0" applyNumberFormat="1" applyFont="1" applyFill="1" applyBorder="1" applyAlignment="1">
      <alignment horizontal="center" vertical="center" wrapText="1"/>
    </xf>
    <xf numFmtId="49" fontId="2" fillId="0" borderId="84" xfId="0" applyNumberFormat="1" applyFont="1" applyFill="1" applyBorder="1" applyAlignment="1">
      <alignment horizontal="center" vertical="center" wrapText="1"/>
    </xf>
    <xf numFmtId="49" fontId="2" fillId="9" borderId="84" xfId="0" applyNumberFormat="1" applyFont="1" applyFill="1" applyBorder="1" applyAlignment="1">
      <alignment horizontal="center" vertical="center" wrapText="1"/>
    </xf>
    <xf numFmtId="49" fontId="2" fillId="0" borderId="85" xfId="0" applyNumberFormat="1" applyFont="1" applyFill="1" applyBorder="1" applyAlignment="1">
      <alignment horizontal="center" vertical="center" wrapText="1"/>
    </xf>
    <xf numFmtId="49" fontId="2" fillId="0" borderId="73" xfId="0" applyNumberFormat="1" applyFont="1" applyFill="1" applyBorder="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Fill="1" applyAlignment="1">
      <alignment horizontal="center" vertical="center"/>
    </xf>
    <xf numFmtId="49" fontId="0" fillId="0" borderId="0" xfId="0" applyNumberFormat="1" applyBorder="1" applyAlignment="1">
      <alignment vertical="center" wrapText="1"/>
    </xf>
    <xf numFmtId="49" fontId="2" fillId="0" borderId="0" xfId="0" applyNumberFormat="1" applyFont="1" applyBorder="1" applyAlignment="1">
      <alignment horizontal="center" vertical="center"/>
    </xf>
    <xf numFmtId="49" fontId="0" fillId="0" borderId="0" xfId="0" applyNumberFormat="1" applyBorder="1" applyAlignment="1">
      <alignment horizontal="center" vertical="center" wrapText="1"/>
    </xf>
    <xf numFmtId="49" fontId="0" fillId="0" borderId="0" xfId="0" applyNumberFormat="1" applyBorder="1"/>
    <xf numFmtId="0" fontId="2" fillId="0" borderId="58" xfId="0" applyNumberFormat="1" applyFont="1" applyFill="1" applyBorder="1" applyAlignment="1">
      <alignment horizontal="center" vertical="center"/>
    </xf>
    <xf numFmtId="0" fontId="2" fillId="0" borderId="51" xfId="0" applyNumberFormat="1" applyFont="1" applyBorder="1" applyAlignment="1">
      <alignment horizontal="center" vertical="center"/>
    </xf>
    <xf numFmtId="0" fontId="2" fillId="0" borderId="50" xfId="0" applyNumberFormat="1" applyFont="1" applyBorder="1" applyAlignment="1">
      <alignment horizontal="center" vertical="center"/>
    </xf>
    <xf numFmtId="0" fontId="2" fillId="0" borderId="54" xfId="0" applyNumberFormat="1" applyFont="1" applyBorder="1" applyAlignment="1">
      <alignment horizontal="center" vertical="center"/>
    </xf>
    <xf numFmtId="0" fontId="2" fillId="0" borderId="51"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2" fillId="0" borderId="50"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wrapText="1"/>
    </xf>
    <xf numFmtId="0" fontId="2" fillId="0" borderId="54" xfId="0" applyNumberFormat="1" applyFont="1" applyFill="1" applyBorder="1" applyAlignment="1">
      <alignment horizontal="center" vertical="center" wrapText="1"/>
    </xf>
    <xf numFmtId="0" fontId="2" fillId="0" borderId="51" xfId="0" applyNumberFormat="1" applyFont="1" applyFill="1" applyBorder="1" applyAlignment="1">
      <alignment horizontal="center" vertical="center" wrapText="1"/>
    </xf>
    <xf numFmtId="0" fontId="2" fillId="9" borderId="58" xfId="0" applyNumberFormat="1" applyFont="1" applyFill="1" applyBorder="1" applyAlignment="1">
      <alignment horizontal="center" vertical="center" wrapText="1"/>
    </xf>
    <xf numFmtId="0" fontId="2" fillId="0" borderId="50" xfId="0" applyNumberFormat="1" applyFont="1" applyFill="1" applyBorder="1" applyAlignment="1">
      <alignment horizontal="center" vertical="center" wrapText="1"/>
    </xf>
    <xf numFmtId="0" fontId="2" fillId="9" borderId="51" xfId="0" applyNumberFormat="1" applyFont="1" applyFill="1" applyBorder="1" applyAlignment="1">
      <alignment horizontal="center" vertical="center" wrapText="1"/>
    </xf>
    <xf numFmtId="0" fontId="2" fillId="9" borderId="54" xfId="0" applyNumberFormat="1" applyFont="1" applyFill="1" applyBorder="1" applyAlignment="1">
      <alignment horizontal="center" vertical="center" wrapText="1"/>
    </xf>
    <xf numFmtId="0" fontId="2" fillId="0" borderId="59" xfId="0" applyNumberFormat="1" applyFont="1" applyFill="1" applyBorder="1" applyAlignment="1">
      <alignment horizontal="center" vertical="center" wrapText="1"/>
    </xf>
    <xf numFmtId="0" fontId="2" fillId="0" borderId="34" xfId="0" applyNumberFormat="1" applyFont="1" applyFill="1" applyBorder="1" applyAlignment="1">
      <alignment horizontal="center" vertical="center" wrapText="1"/>
    </xf>
    <xf numFmtId="0" fontId="2" fillId="0" borderId="68" xfId="0" applyNumberFormat="1" applyFont="1" applyFill="1" applyBorder="1" applyAlignment="1">
      <alignment horizontal="center" vertical="center" wrapText="1"/>
    </xf>
    <xf numFmtId="0" fontId="2" fillId="0" borderId="58" xfId="0" applyNumberFormat="1" applyFont="1" applyFill="1" applyBorder="1" applyAlignment="1">
      <alignment horizontal="center" vertical="center" wrapText="1"/>
    </xf>
    <xf numFmtId="0" fontId="2" fillId="0" borderId="42" xfId="0" applyNumberFormat="1" applyFont="1" applyFill="1" applyBorder="1" applyAlignment="1">
      <alignment horizontal="center" vertical="center" wrapText="1"/>
    </xf>
    <xf numFmtId="0" fontId="2" fillId="0" borderId="53" xfId="0" applyNumberFormat="1" applyFont="1" applyFill="1" applyBorder="1" applyAlignment="1">
      <alignment horizontal="center" vertical="center" wrapText="1"/>
    </xf>
    <xf numFmtId="0" fontId="2" fillId="0" borderId="58" xfId="5" applyNumberFormat="1" applyFont="1" applyFill="1" applyBorder="1" applyAlignment="1">
      <alignment horizontal="center" vertical="center" wrapText="1"/>
    </xf>
    <xf numFmtId="0" fontId="2" fillId="0" borderId="107" xfId="0" applyNumberFormat="1" applyFont="1" applyFill="1" applyBorder="1" applyAlignment="1">
      <alignment horizontal="center" vertical="center" wrapText="1"/>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15"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18" xfId="0" applyNumberFormat="1" applyFont="1" applyBorder="1" applyAlignment="1">
      <alignment horizontal="center" vertical="center"/>
    </xf>
    <xf numFmtId="0" fontId="2" fillId="5" borderId="35" xfId="0" applyNumberFormat="1" applyFont="1" applyFill="1" applyBorder="1" applyAlignment="1">
      <alignment horizontal="center" vertical="center"/>
    </xf>
    <xf numFmtId="0" fontId="2" fillId="0" borderId="7" xfId="0" applyNumberFormat="1" applyFont="1" applyBorder="1" applyAlignment="1">
      <alignment horizontal="center" vertical="center"/>
    </xf>
    <xf numFmtId="0" fontId="2" fillId="0" borderId="3" xfId="0" applyNumberFormat="1" applyFont="1" applyFill="1" applyBorder="1" applyAlignment="1">
      <alignment horizontal="center" vertical="center"/>
    </xf>
    <xf numFmtId="0" fontId="2" fillId="0" borderId="36" xfId="0" applyNumberFormat="1" applyFont="1" applyBorder="1" applyAlignment="1">
      <alignment horizontal="center" vertical="center"/>
    </xf>
    <xf numFmtId="0" fontId="2" fillId="0" borderId="13" xfId="0" applyNumberFormat="1" applyFont="1" applyBorder="1" applyAlignment="1">
      <alignment horizontal="center" vertical="center"/>
    </xf>
    <xf numFmtId="0" fontId="2" fillId="5" borderId="36" xfId="0" applyNumberFormat="1" applyFont="1" applyFill="1" applyBorder="1" applyAlignment="1">
      <alignment horizontal="center" vertical="center"/>
    </xf>
    <xf numFmtId="0" fontId="2" fillId="0" borderId="69" xfId="0" applyNumberFormat="1" applyFont="1" applyBorder="1" applyAlignment="1">
      <alignment horizontal="center" vertical="center"/>
    </xf>
    <xf numFmtId="0" fontId="2" fillId="5"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1" xfId="0" applyNumberFormat="1" applyFont="1" applyBorder="1" applyAlignment="1">
      <alignment horizontal="center" vertical="center"/>
    </xf>
    <xf numFmtId="0" fontId="2" fillId="0" borderId="37" xfId="0" applyNumberFormat="1" applyFont="1" applyBorder="1" applyAlignment="1">
      <alignment horizontal="center" vertical="center"/>
    </xf>
    <xf numFmtId="0" fontId="2" fillId="0" borderId="52" xfId="0" applyNumberFormat="1" applyFont="1" applyBorder="1" applyAlignment="1">
      <alignment horizontal="center" vertical="center"/>
    </xf>
    <xf numFmtId="0" fontId="2" fillId="5" borderId="37" xfId="0" applyNumberFormat="1" applyFont="1" applyFill="1" applyBorder="1" applyAlignment="1">
      <alignment horizontal="center" vertical="center"/>
    </xf>
    <xf numFmtId="0" fontId="2" fillId="0" borderId="89" xfId="0" applyNumberFormat="1" applyFont="1" applyBorder="1" applyAlignment="1">
      <alignment horizontal="center" vertical="center"/>
    </xf>
    <xf numFmtId="0" fontId="2" fillId="5" borderId="21"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9" xfId="0" applyNumberFormat="1" applyFont="1" applyFill="1" applyBorder="1" applyAlignment="1">
      <alignment horizontal="center" vertical="center"/>
    </xf>
    <xf numFmtId="0" fontId="2" fillId="0" borderId="18"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40" xfId="0" applyNumberFormat="1" applyFont="1" applyFill="1" applyBorder="1" applyAlignment="1">
      <alignment horizontal="center" vertical="center"/>
    </xf>
    <xf numFmtId="0" fontId="2" fillId="0" borderId="29" xfId="0" applyNumberFormat="1" applyFont="1" applyFill="1" applyBorder="1" applyAlignment="1">
      <alignment horizontal="center" vertical="center"/>
    </xf>
    <xf numFmtId="0" fontId="2" fillId="0" borderId="81" xfId="0" applyNumberFormat="1" applyFont="1" applyFill="1" applyBorder="1" applyAlignment="1">
      <alignment horizontal="center" vertical="center"/>
    </xf>
    <xf numFmtId="0" fontId="2" fillId="0" borderId="90" xfId="0" applyNumberFormat="1" applyFont="1" applyFill="1" applyBorder="1" applyAlignment="1">
      <alignment horizontal="center" vertical="center"/>
    </xf>
    <xf numFmtId="0" fontId="2" fillId="0" borderId="115" xfId="0" applyNumberFormat="1" applyFont="1" applyFill="1" applyBorder="1" applyAlignment="1">
      <alignment horizontal="center" vertical="center"/>
    </xf>
    <xf numFmtId="0" fontId="2" fillId="0" borderId="19"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30" xfId="0" applyNumberFormat="1" applyFont="1" applyFill="1" applyBorder="1" applyAlignment="1">
      <alignment horizontal="center" vertical="center"/>
    </xf>
    <xf numFmtId="0" fontId="2" fillId="0" borderId="77" xfId="0" applyNumberFormat="1" applyFont="1" applyFill="1" applyBorder="1" applyAlignment="1">
      <alignment horizontal="center" vertical="center"/>
    </xf>
    <xf numFmtId="0" fontId="2" fillId="0" borderId="88"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2" fillId="0" borderId="39"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85" xfId="0" applyNumberFormat="1" applyFont="1" applyFill="1" applyBorder="1" applyAlignment="1">
      <alignment horizontal="center" vertical="center"/>
    </xf>
    <xf numFmtId="0" fontId="2" fillId="0" borderId="91" xfId="0" applyNumberFormat="1" applyFont="1" applyFill="1" applyBorder="1" applyAlignment="1">
      <alignment horizontal="center" vertical="center"/>
    </xf>
    <xf numFmtId="0" fontId="2" fillId="0" borderId="67" xfId="0" applyNumberFormat="1" applyFont="1" applyFill="1" applyBorder="1" applyAlignment="1">
      <alignment horizontal="center" vertical="center"/>
    </xf>
    <xf numFmtId="0" fontId="2" fillId="0" borderId="36"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4" xfId="0" applyNumberFormat="1" applyFont="1" applyFill="1" applyBorder="1" applyAlignment="1">
      <alignment horizontal="center" vertical="center"/>
    </xf>
    <xf numFmtId="0" fontId="2" fillId="0" borderId="69"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77" xfId="0" applyNumberFormat="1" applyFont="1" applyFill="1" applyBorder="1" applyAlignment="1">
      <alignment horizontal="center" vertical="center" wrapText="1"/>
    </xf>
    <xf numFmtId="0" fontId="2" fillId="0" borderId="88" xfId="0" applyNumberFormat="1" applyFont="1" applyFill="1" applyBorder="1" applyAlignment="1">
      <alignment horizontal="center" vertical="center" wrapText="1"/>
    </xf>
    <xf numFmtId="0" fontId="2" fillId="0" borderId="78"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2" fillId="0" borderId="37" xfId="0" applyNumberFormat="1" applyFont="1" applyFill="1" applyBorder="1" applyAlignment="1">
      <alignment horizontal="center" vertical="center" wrapText="1"/>
    </xf>
    <xf numFmtId="0" fontId="2" fillId="0" borderId="52" xfId="0" applyNumberFormat="1" applyFont="1" applyFill="1" applyBorder="1" applyAlignment="1">
      <alignment horizontal="center" vertical="center" wrapText="1"/>
    </xf>
    <xf numFmtId="0" fontId="2" fillId="0" borderId="76" xfId="0" applyNumberFormat="1" applyFont="1" applyFill="1" applyBorder="1" applyAlignment="1">
      <alignment horizontal="center" vertical="center" wrapText="1"/>
    </xf>
    <xf numFmtId="0" fontId="2" fillId="0" borderId="89" xfId="0" applyNumberFormat="1" applyFont="1" applyFill="1" applyBorder="1" applyAlignment="1">
      <alignment horizontal="center" vertical="center" wrapText="1"/>
    </xf>
    <xf numFmtId="0" fontId="2" fillId="0" borderId="57" xfId="0" applyNumberFormat="1" applyFont="1" applyFill="1" applyBorder="1" applyAlignment="1">
      <alignment horizontal="center" vertical="center" wrapText="1"/>
    </xf>
    <xf numFmtId="0" fontId="2" fillId="0" borderId="3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9" borderId="20" xfId="0" applyNumberFormat="1" applyFont="1" applyFill="1" applyBorder="1" applyAlignment="1">
      <alignment horizontal="center" vertical="center" wrapText="1"/>
    </xf>
    <xf numFmtId="0" fontId="2" fillId="9" borderId="39" xfId="0" applyNumberFormat="1" applyFont="1" applyFill="1" applyBorder="1" applyAlignment="1">
      <alignment horizontal="center" vertical="center" wrapText="1"/>
    </xf>
    <xf numFmtId="0" fontId="2" fillId="9" borderId="26" xfId="0" applyNumberFormat="1" applyFont="1" applyFill="1" applyBorder="1" applyAlignment="1">
      <alignment horizontal="center" vertical="center" wrapText="1"/>
    </xf>
    <xf numFmtId="0" fontId="2" fillId="9" borderId="85" xfId="0" applyNumberFormat="1" applyFont="1" applyFill="1" applyBorder="1" applyAlignment="1">
      <alignment horizontal="center" vertical="center" wrapText="1"/>
    </xf>
    <xf numFmtId="0" fontId="2" fillId="9" borderId="91" xfId="0" applyNumberFormat="1" applyFont="1" applyFill="1" applyBorder="1" applyAlignment="1">
      <alignment horizontal="center" vertical="center" wrapText="1"/>
    </xf>
    <xf numFmtId="0" fontId="2" fillId="9" borderId="67" xfId="0" applyNumberFormat="1" applyFont="1" applyFill="1" applyBorder="1" applyAlignment="1">
      <alignment horizontal="center" vertical="center" wrapText="1"/>
    </xf>
    <xf numFmtId="0" fontId="2" fillId="0" borderId="36"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69"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9" borderId="3" xfId="0" applyNumberFormat="1" applyFont="1" applyFill="1" applyBorder="1" applyAlignment="1">
      <alignment horizontal="center" vertical="center" wrapText="1"/>
    </xf>
    <xf numFmtId="0" fontId="2" fillId="9" borderId="35" xfId="0" applyNumberFormat="1" applyFont="1" applyFill="1" applyBorder="1" applyAlignment="1">
      <alignment horizontal="center" vertical="center" wrapText="1"/>
    </xf>
    <xf numFmtId="0" fontId="2" fillId="9" borderId="6" xfId="0" applyNumberFormat="1" applyFont="1" applyFill="1" applyBorder="1" applyAlignment="1">
      <alignment horizontal="center" vertical="center" wrapText="1"/>
    </xf>
    <xf numFmtId="0" fontId="2" fillId="9" borderId="18" xfId="0" applyNumberFormat="1" applyFont="1" applyFill="1" applyBorder="1" applyAlignment="1">
      <alignment horizontal="center" vertical="center" wrapText="1"/>
    </xf>
    <xf numFmtId="0" fontId="2" fillId="9" borderId="7" xfId="0" applyNumberFormat="1" applyFont="1" applyFill="1" applyBorder="1" applyAlignment="1">
      <alignment horizontal="center" vertical="center" wrapText="1"/>
    </xf>
    <xf numFmtId="0" fontId="2" fillId="9" borderId="74" xfId="0" applyNumberFormat="1" applyFont="1" applyFill="1" applyBorder="1" applyAlignment="1">
      <alignment horizontal="center" vertical="center" wrapText="1"/>
    </xf>
    <xf numFmtId="0" fontId="2" fillId="9" borderId="21" xfId="0" applyNumberFormat="1" applyFont="1" applyFill="1" applyBorder="1" applyAlignment="1">
      <alignment horizontal="center" vertical="center" wrapText="1"/>
    </xf>
    <xf numFmtId="0" fontId="2" fillId="9" borderId="37" xfId="0" applyNumberFormat="1" applyFont="1" applyFill="1" applyBorder="1" applyAlignment="1">
      <alignment horizontal="center" vertical="center" wrapText="1"/>
    </xf>
    <xf numFmtId="0" fontId="2" fillId="9" borderId="52" xfId="0" applyNumberFormat="1" applyFont="1" applyFill="1" applyBorder="1" applyAlignment="1">
      <alignment horizontal="center" vertical="center" wrapText="1"/>
    </xf>
    <xf numFmtId="0" fontId="2" fillId="9" borderId="76" xfId="0" applyNumberFormat="1" applyFont="1" applyFill="1" applyBorder="1" applyAlignment="1">
      <alignment horizontal="center" vertical="center" wrapText="1"/>
    </xf>
    <xf numFmtId="0" fontId="2" fillId="9" borderId="80" xfId="0" applyNumberFormat="1" applyFont="1" applyFill="1" applyBorder="1" applyAlignment="1">
      <alignment horizontal="center" vertical="center" wrapText="1"/>
    </xf>
    <xf numFmtId="0" fontId="2" fillId="9" borderId="89" xfId="0" applyNumberFormat="1" applyFont="1" applyFill="1" applyBorder="1" applyAlignment="1">
      <alignment horizontal="center" vertical="center" wrapText="1"/>
    </xf>
    <xf numFmtId="0" fontId="2" fillId="9" borderId="57"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40" xfId="0" applyNumberFormat="1"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63" xfId="0" applyNumberFormat="1" applyFont="1" applyFill="1" applyBorder="1" applyAlignment="1">
      <alignment horizontal="center" vertical="center" wrapText="1"/>
    </xf>
    <xf numFmtId="0" fontId="2" fillId="0" borderId="90" xfId="0" applyNumberFormat="1" applyFont="1" applyFill="1" applyBorder="1" applyAlignment="1">
      <alignment horizontal="center" vertical="center" wrapText="1"/>
    </xf>
    <xf numFmtId="0" fontId="2" fillId="0" borderId="115" xfId="0" applyNumberFormat="1" applyFont="1" applyFill="1" applyBorder="1" applyAlignment="1">
      <alignment horizontal="center" vertical="center" wrapText="1"/>
    </xf>
    <xf numFmtId="0" fontId="2" fillId="0" borderId="46"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72"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3"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75" xfId="0" applyNumberFormat="1" applyFont="1" applyFill="1" applyBorder="1" applyAlignment="1">
      <alignment horizontal="center" vertical="center" wrapText="1"/>
    </xf>
    <xf numFmtId="0" fontId="2" fillId="0" borderId="84"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9" borderId="84"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39" xfId="0" applyNumberFormat="1" applyFont="1" applyFill="1" applyBorder="1" applyAlignment="1">
      <alignment horizontal="center" vertical="center" wrapText="1"/>
    </xf>
    <xf numFmtId="0" fontId="2" fillId="0" borderId="26" xfId="0" applyNumberFormat="1" applyFont="1" applyFill="1" applyBorder="1" applyAlignment="1">
      <alignment horizontal="center" vertical="center" wrapText="1"/>
    </xf>
    <xf numFmtId="0" fontId="2" fillId="0" borderId="91" xfId="0" applyNumberFormat="1" applyFont="1" applyFill="1" applyBorder="1" applyAlignment="1">
      <alignment horizontal="center" vertical="center" wrapText="1"/>
    </xf>
    <xf numFmtId="0" fontId="2" fillId="0" borderId="67" xfId="0" applyNumberFormat="1" applyFont="1" applyFill="1" applyBorder="1" applyAlignment="1">
      <alignment horizontal="center" vertical="center" wrapText="1"/>
    </xf>
    <xf numFmtId="0" fontId="2" fillId="0" borderId="41" xfId="0" applyNumberFormat="1" applyFont="1" applyFill="1" applyBorder="1" applyAlignment="1">
      <alignment horizontal="center" vertical="center" wrapText="1"/>
    </xf>
    <xf numFmtId="0" fontId="2" fillId="0" borderId="27" xfId="0" applyNumberFormat="1" applyFont="1" applyFill="1" applyBorder="1" applyAlignment="1">
      <alignment horizontal="center" vertical="center" wrapText="1"/>
    </xf>
    <xf numFmtId="0" fontId="2" fillId="0" borderId="64" xfId="0" applyNumberFormat="1" applyFont="1" applyFill="1" applyBorder="1" applyAlignment="1">
      <alignment horizontal="center" vertical="center" wrapText="1"/>
    </xf>
    <xf numFmtId="0" fontId="2" fillId="0" borderId="73" xfId="0" applyNumberFormat="1" applyFont="1" applyFill="1" applyBorder="1" applyAlignment="1">
      <alignment horizontal="center" vertical="center" wrapText="1"/>
    </xf>
    <xf numFmtId="0" fontId="2" fillId="0" borderId="93" xfId="0" applyNumberFormat="1" applyFont="1" applyFill="1" applyBorder="1" applyAlignment="1">
      <alignment horizontal="center" vertical="center" wrapText="1"/>
    </xf>
    <xf numFmtId="0" fontId="2" fillId="0" borderId="83" xfId="0" applyNumberFormat="1" applyFont="1" applyFill="1" applyBorder="1" applyAlignment="1">
      <alignment horizontal="center" vertical="center" wrapText="1"/>
    </xf>
    <xf numFmtId="0" fontId="2" fillId="0" borderId="48" xfId="0" applyNumberFormat="1" applyFont="1" applyFill="1" applyBorder="1" applyAlignment="1">
      <alignment horizontal="center" vertical="center" wrapText="1"/>
    </xf>
    <xf numFmtId="0" fontId="2" fillId="0" borderId="47" xfId="0" applyNumberFormat="1" applyFont="1" applyFill="1" applyBorder="1" applyAlignment="1">
      <alignment horizontal="center" vertical="center" wrapText="1"/>
    </xf>
    <xf numFmtId="0" fontId="2" fillId="0" borderId="56" xfId="0" applyNumberFormat="1" applyFont="1" applyFill="1" applyBorder="1" applyAlignment="1">
      <alignment horizontal="center" vertical="center" wrapText="1"/>
    </xf>
    <xf numFmtId="0" fontId="2" fillId="0" borderId="86" xfId="0" applyNumberFormat="1" applyFont="1" applyFill="1" applyBorder="1" applyAlignment="1">
      <alignment horizontal="center" vertical="center" wrapText="1"/>
    </xf>
    <xf numFmtId="0" fontId="2" fillId="0" borderId="92" xfId="0" applyNumberFormat="1" applyFont="1" applyFill="1" applyBorder="1" applyAlignment="1">
      <alignment horizontal="center" vertical="center" wrapText="1"/>
    </xf>
    <xf numFmtId="0" fontId="2" fillId="0" borderId="118" xfId="0" applyNumberFormat="1" applyFont="1" applyFill="1" applyBorder="1" applyAlignment="1">
      <alignment horizontal="center" vertical="center" wrapText="1"/>
    </xf>
    <xf numFmtId="0" fontId="2" fillId="0" borderId="20" xfId="5" applyNumberFormat="1" applyFont="1" applyFill="1" applyBorder="1" applyAlignment="1">
      <alignment horizontal="center" vertical="center" wrapText="1"/>
    </xf>
    <xf numFmtId="0" fontId="2" fillId="0" borderId="39" xfId="5" applyNumberFormat="1" applyFont="1" applyFill="1" applyBorder="1" applyAlignment="1">
      <alignment horizontal="center" vertical="center" wrapText="1"/>
    </xf>
    <xf numFmtId="0" fontId="2" fillId="0" borderId="26" xfId="5" applyNumberFormat="1" applyFont="1" applyFill="1" applyBorder="1" applyAlignment="1">
      <alignment horizontal="center" vertical="center" wrapText="1"/>
    </xf>
    <xf numFmtId="0" fontId="2" fillId="0" borderId="85" xfId="5" applyNumberFormat="1" applyFont="1" applyFill="1" applyBorder="1" applyAlignment="1">
      <alignment horizontal="center" vertical="center" wrapText="1"/>
    </xf>
    <xf numFmtId="0" fontId="2" fillId="0" borderId="91" xfId="5" applyNumberFormat="1" applyFont="1" applyFill="1" applyBorder="1" applyAlignment="1">
      <alignment horizontal="center" vertical="center" wrapText="1"/>
    </xf>
    <xf numFmtId="0" fontId="2" fillId="0" borderId="67" xfId="5" applyNumberFormat="1" applyFont="1" applyFill="1" applyBorder="1" applyAlignment="1">
      <alignment horizontal="center" vertical="center" wrapText="1"/>
    </xf>
    <xf numFmtId="0" fontId="2" fillId="0" borderId="94" xfId="0" applyNumberFormat="1" applyFont="1" applyFill="1" applyBorder="1" applyAlignment="1">
      <alignment horizontal="center" vertical="center" wrapText="1"/>
    </xf>
    <xf numFmtId="0" fontId="2" fillId="0" borderId="105" xfId="0" applyNumberFormat="1" applyFont="1" applyFill="1" applyBorder="1" applyAlignment="1">
      <alignment horizontal="center" vertical="center" wrapText="1"/>
    </xf>
    <xf numFmtId="0" fontId="2" fillId="0" borderId="106" xfId="0" applyNumberFormat="1" applyFont="1" applyFill="1" applyBorder="1" applyAlignment="1">
      <alignment horizontal="center" vertical="center" wrapText="1"/>
    </xf>
    <xf numFmtId="0" fontId="2" fillId="0" borderId="108" xfId="0" applyNumberFormat="1" applyFont="1" applyFill="1" applyBorder="1" applyAlignment="1">
      <alignment horizontal="center" vertical="center" wrapText="1"/>
    </xf>
    <xf numFmtId="0" fontId="2" fillId="0" borderId="117" xfId="0" applyNumberFormat="1" applyFont="1" applyFill="1" applyBorder="1" applyAlignment="1">
      <alignment horizontal="center" vertical="center" wrapText="1"/>
    </xf>
    <xf numFmtId="0" fontId="2" fillId="0" borderId="119" xfId="0" applyNumberFormat="1" applyFont="1" applyFill="1" applyBorder="1" applyAlignment="1">
      <alignment horizontal="center" vertical="center" wrapText="1"/>
    </xf>
    <xf numFmtId="0" fontId="2" fillId="0" borderId="82" xfId="0" applyNumberFormat="1" applyFont="1" applyFill="1" applyBorder="1" applyAlignment="1">
      <alignment horizontal="center" vertical="center" wrapText="1"/>
    </xf>
    <xf numFmtId="0" fontId="1" fillId="0" borderId="0" xfId="0" applyNumberFormat="1" applyFont="1" applyAlignment="1">
      <alignment vertical="center" wrapText="1"/>
    </xf>
    <xf numFmtId="0" fontId="0" fillId="0" borderId="40" xfId="0" applyNumberFormat="1" applyFont="1" applyFill="1" applyBorder="1" applyAlignment="1">
      <alignment vertical="center" wrapText="1"/>
    </xf>
    <xf numFmtId="0" fontId="0" fillId="9" borderId="80" xfId="0" applyNumberFormat="1" applyFont="1" applyFill="1" applyBorder="1" applyAlignment="1">
      <alignment horizontal="center" vertical="center" wrapText="1"/>
    </xf>
    <xf numFmtId="0" fontId="2" fillId="0" borderId="59" xfId="0" applyNumberFormat="1" applyFont="1" applyBorder="1" applyAlignment="1">
      <alignment horizontal="center" vertical="center"/>
    </xf>
    <xf numFmtId="0" fontId="2" fillId="0" borderId="25" xfId="0" applyNumberFormat="1" applyFont="1" applyBorder="1" applyAlignment="1">
      <alignment horizontal="center" vertical="center"/>
    </xf>
    <xf numFmtId="0" fontId="2" fillId="0" borderId="40" xfId="0" applyNumberFormat="1" applyFont="1" applyBorder="1" applyAlignment="1">
      <alignment horizontal="center" vertical="center"/>
    </xf>
    <xf numFmtId="0" fontId="2" fillId="0" borderId="29" xfId="0" applyNumberFormat="1" applyFont="1" applyBorder="1" applyAlignment="1">
      <alignment horizontal="center" vertical="center"/>
    </xf>
    <xf numFmtId="0" fontId="2" fillId="0" borderId="90" xfId="0" applyNumberFormat="1" applyFont="1" applyBorder="1" applyAlignment="1">
      <alignment horizontal="center" vertical="center"/>
    </xf>
    <xf numFmtId="0" fontId="2" fillId="5" borderId="40" xfId="0" applyNumberFormat="1" applyFont="1" applyFill="1" applyBorder="1" applyAlignment="1">
      <alignment horizontal="center" vertical="center"/>
    </xf>
    <xf numFmtId="0" fontId="2" fillId="0" borderId="115" xfId="0" applyNumberFormat="1" applyFont="1" applyBorder="1" applyAlignment="1">
      <alignment horizontal="center" vertical="center"/>
    </xf>
    <xf numFmtId="0" fontId="2" fillId="5" borderId="25" xfId="0" applyNumberFormat="1" applyFont="1" applyFill="1" applyBorder="1" applyAlignment="1">
      <alignment horizontal="center" vertical="center"/>
    </xf>
    <xf numFmtId="0" fontId="2" fillId="0" borderId="0" xfId="0" applyFont="1"/>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0" fillId="0" borderId="12" xfId="0" applyFont="1" applyFill="1" applyBorder="1" applyAlignment="1">
      <alignment vertical="center" wrapText="1"/>
    </xf>
    <xf numFmtId="0" fontId="0" fillId="0" borderId="45" xfId="0" applyBorder="1"/>
    <xf numFmtId="0" fontId="0" fillId="0" borderId="3"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4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23" xfId="0" applyFont="1" applyFill="1" applyBorder="1" applyAlignment="1">
      <alignment horizontal="left" vertical="center"/>
    </xf>
    <xf numFmtId="0" fontId="0" fillId="0" borderId="25" xfId="0" applyFont="1" applyFill="1" applyBorder="1" applyAlignment="1">
      <alignment horizontal="left" vertical="center" wrapText="1"/>
    </xf>
    <xf numFmtId="0" fontId="0" fillId="0" borderId="20" xfId="0" applyFont="1" applyFill="1" applyBorder="1" applyAlignment="1">
      <alignment horizontal="left" vertical="center" wrapText="1"/>
    </xf>
    <xf numFmtId="164" fontId="0" fillId="0" borderId="3" xfId="1" applyFont="1" applyFill="1" applyBorder="1" applyAlignment="1">
      <alignment horizontal="left" vertical="center" wrapText="1"/>
    </xf>
    <xf numFmtId="1" fontId="2" fillId="0" borderId="1" xfId="2" applyNumberFormat="1" applyFont="1" applyFill="1" applyBorder="1" applyAlignment="1">
      <alignment horizontal="left" vertical="center" wrapText="1"/>
    </xf>
    <xf numFmtId="164" fontId="0" fillId="0" borderId="1" xfId="1" applyFont="1" applyFill="1" applyBorder="1" applyAlignment="1">
      <alignment horizontal="left" vertical="center" wrapText="1"/>
    </xf>
    <xf numFmtId="164" fontId="2" fillId="0" borderId="1" xfId="2" applyFont="1" applyFill="1" applyBorder="1" applyAlignment="1">
      <alignment horizontal="left" vertical="center" wrapText="1"/>
    </xf>
    <xf numFmtId="0" fontId="1" fillId="10" borderId="71" xfId="0" applyFont="1" applyFill="1" applyBorder="1" applyAlignment="1">
      <alignment horizontal="center" vertical="center" wrapText="1"/>
    </xf>
    <xf numFmtId="0" fontId="22" fillId="6" borderId="1" xfId="0" applyFont="1" applyFill="1" applyBorder="1" applyAlignment="1">
      <alignment vertical="center" wrapText="1"/>
    </xf>
    <xf numFmtId="0" fontId="0" fillId="0" borderId="6" xfId="0" applyFont="1" applyFill="1" applyBorder="1" applyAlignment="1">
      <alignment vertical="center" wrapText="1"/>
    </xf>
    <xf numFmtId="0" fontId="2" fillId="0" borderId="0" xfId="0" applyFont="1" applyFill="1" applyAlignment="1">
      <alignment wrapText="1"/>
    </xf>
    <xf numFmtId="0" fontId="1" fillId="9" borderId="58" xfId="0" applyFont="1" applyFill="1" applyBorder="1" applyAlignment="1">
      <alignment horizontal="center" vertical="center" wrapText="1"/>
    </xf>
    <xf numFmtId="0" fontId="2" fillId="0" borderId="26" xfId="0" applyNumberFormat="1" applyFont="1" applyFill="1" applyBorder="1" applyAlignment="1">
      <alignment vertical="center" wrapText="1"/>
    </xf>
    <xf numFmtId="49" fontId="4" fillId="10" borderId="21" xfId="0" applyNumberFormat="1" applyFont="1" applyFill="1" applyBorder="1" applyAlignment="1">
      <alignment horizontal="center" vertical="center"/>
    </xf>
    <xf numFmtId="49" fontId="4" fillId="10" borderId="37" xfId="0" applyNumberFormat="1" applyFont="1" applyFill="1" applyBorder="1" applyAlignment="1">
      <alignment horizontal="center" vertical="center"/>
    </xf>
    <xf numFmtId="49" fontId="4" fillId="10" borderId="76" xfId="0" applyNumberFormat="1" applyFont="1" applyFill="1" applyBorder="1" applyAlignment="1">
      <alignment horizontal="center" vertical="center"/>
    </xf>
    <xf numFmtId="49" fontId="4" fillId="10" borderId="52" xfId="0" applyNumberFormat="1" applyFont="1" applyFill="1" applyBorder="1" applyAlignment="1">
      <alignment horizontal="center" vertical="center"/>
    </xf>
    <xf numFmtId="49" fontId="4" fillId="10" borderId="89" xfId="0" applyNumberFormat="1" applyFont="1" applyFill="1" applyBorder="1" applyAlignment="1">
      <alignment horizontal="center" vertical="center"/>
    </xf>
    <xf numFmtId="49" fontId="4" fillId="10" borderId="57" xfId="0" applyNumberFormat="1" applyFont="1" applyFill="1" applyBorder="1" applyAlignment="1">
      <alignment horizontal="center" vertical="center"/>
    </xf>
    <xf numFmtId="49" fontId="4" fillId="10" borderId="54"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25" fillId="6" borderId="3" xfId="0" applyFont="1" applyFill="1" applyBorder="1" applyAlignment="1">
      <alignment vertical="center" wrapText="1"/>
    </xf>
    <xf numFmtId="0" fontId="25" fillId="6" borderId="6" xfId="0" applyFont="1" applyFill="1" applyBorder="1" applyAlignment="1">
      <alignment vertical="center" wrapText="1"/>
    </xf>
    <xf numFmtId="49" fontId="2" fillId="11" borderId="79" xfId="0" applyNumberFormat="1" applyFont="1" applyFill="1" applyBorder="1" applyAlignment="1">
      <alignment horizontal="center" vertical="center" wrapText="1"/>
    </xf>
    <xf numFmtId="49" fontId="2" fillId="11" borderId="82" xfId="0" applyNumberFormat="1" applyFont="1" applyFill="1" applyBorder="1" applyAlignment="1">
      <alignment horizontal="center" vertical="center" wrapText="1"/>
    </xf>
    <xf numFmtId="0" fontId="0" fillId="0" borderId="2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58" xfId="0" applyFont="1" applyFill="1" applyBorder="1" applyAlignment="1">
      <alignment horizontal="center" vertical="center" wrapText="1"/>
    </xf>
    <xf numFmtId="0" fontId="1" fillId="0" borderId="113" xfId="0" applyFont="1" applyFill="1" applyBorder="1" applyAlignment="1">
      <alignment horizontal="center" vertical="center" wrapText="1"/>
    </xf>
    <xf numFmtId="0" fontId="0" fillId="0" borderId="51" xfId="0" applyFill="1" applyBorder="1" applyAlignment="1">
      <alignment horizontal="center" vertical="center"/>
    </xf>
    <xf numFmtId="0" fontId="0" fillId="0" borderId="35" xfId="0" applyFill="1" applyBorder="1" applyAlignment="1">
      <alignment horizontal="center" vertical="center"/>
    </xf>
    <xf numFmtId="0" fontId="0" fillId="0" borderId="50" xfId="0" applyFill="1" applyBorder="1" applyAlignment="1">
      <alignment horizontal="center" vertical="center"/>
    </xf>
    <xf numFmtId="0" fontId="0" fillId="0" borderId="36" xfId="0" applyFill="1" applyBorder="1" applyAlignment="1">
      <alignment horizontal="center" vertical="center"/>
    </xf>
    <xf numFmtId="0" fontId="0" fillId="0" borderId="45" xfId="0" applyFill="1" applyBorder="1" applyAlignment="1">
      <alignment horizontal="center" vertical="center"/>
    </xf>
    <xf numFmtId="0" fontId="0" fillId="0" borderId="38" xfId="0" applyFill="1" applyBorder="1" applyAlignment="1">
      <alignment horizontal="center" vertical="center"/>
    </xf>
    <xf numFmtId="0" fontId="0" fillId="0" borderId="0" xfId="0" applyFill="1" applyAlignment="1">
      <alignment vertical="center"/>
    </xf>
    <xf numFmtId="0" fontId="0" fillId="0" borderId="3" xfId="0" applyFont="1" applyFill="1" applyBorder="1" applyAlignment="1">
      <alignment horizontal="center" vertical="center"/>
    </xf>
    <xf numFmtId="0" fontId="0" fillId="0" borderId="3"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1" fillId="0" borderId="0" xfId="0" applyFont="1" applyFill="1" applyAlignment="1">
      <alignment vertical="center"/>
    </xf>
    <xf numFmtId="165" fontId="0" fillId="0" borderId="0" xfId="0" applyNumberFormat="1" applyFont="1" applyFill="1" applyAlignment="1">
      <alignment horizontal="center" vertical="center"/>
    </xf>
    <xf numFmtId="166"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0" fillId="0" borderId="1" xfId="0" applyFont="1" applyBorder="1" applyAlignment="1">
      <alignment horizontal="center" vertical="center"/>
    </xf>
    <xf numFmtId="0" fontId="26" fillId="0" borderId="1" xfId="0" applyFont="1" applyBorder="1" applyAlignment="1">
      <alignment horizontal="center" vertical="center"/>
    </xf>
    <xf numFmtId="0" fontId="0" fillId="0" borderId="3" xfId="0" applyFont="1" applyBorder="1" applyAlignment="1">
      <alignment horizontal="center" vertical="center"/>
    </xf>
    <xf numFmtId="0" fontId="26" fillId="0" borderId="3" xfId="0" applyFont="1" applyBorder="1" applyAlignment="1">
      <alignment horizontal="center" vertical="center"/>
    </xf>
    <xf numFmtId="0" fontId="0" fillId="0" borderId="3" xfId="0" applyFill="1" applyBorder="1" applyAlignment="1">
      <alignment vertical="center"/>
    </xf>
    <xf numFmtId="0" fontId="0" fillId="0" borderId="23" xfId="0" applyFont="1" applyBorder="1" applyAlignment="1">
      <alignment horizontal="center" vertical="center"/>
    </xf>
    <xf numFmtId="0" fontId="26" fillId="0" borderId="23" xfId="0" applyFont="1" applyBorder="1" applyAlignment="1">
      <alignment horizontal="center" vertical="center"/>
    </xf>
    <xf numFmtId="165" fontId="0" fillId="0" borderId="23" xfId="0" applyNumberFormat="1" applyFont="1" applyFill="1" applyBorder="1" applyAlignment="1">
      <alignment horizontal="center" vertical="center"/>
    </xf>
    <xf numFmtId="165" fontId="0" fillId="0" borderId="28" xfId="0" applyNumberFormat="1" applyFont="1" applyFill="1" applyBorder="1" applyAlignment="1">
      <alignment horizontal="center" vertical="center"/>
    </xf>
    <xf numFmtId="165" fontId="0" fillId="0" borderId="45"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30" xfId="0" applyFont="1" applyFill="1" applyBorder="1" applyAlignment="1">
      <alignment vertical="center" wrapText="1"/>
    </xf>
    <xf numFmtId="0" fontId="0" fillId="0" borderId="33" xfId="0" applyFont="1" applyFill="1" applyBorder="1" applyAlignment="1">
      <alignment vertical="center" wrapText="1"/>
    </xf>
    <xf numFmtId="0" fontId="0" fillId="0" borderId="13" xfId="0" applyFont="1" applyFill="1" applyBorder="1" applyAlignment="1">
      <alignment vertical="center" wrapText="1"/>
    </xf>
    <xf numFmtId="0" fontId="0" fillId="0" borderId="36" xfId="0" applyFont="1" applyFill="1" applyBorder="1" applyAlignment="1">
      <alignment vertical="center" wrapText="1"/>
    </xf>
    <xf numFmtId="0" fontId="0" fillId="0" borderId="13" xfId="0" applyFont="1" applyFill="1" applyBorder="1" applyAlignment="1">
      <alignment vertical="center"/>
    </xf>
    <xf numFmtId="0" fontId="0" fillId="0" borderId="21" xfId="0" applyFont="1" applyFill="1" applyBorder="1" applyAlignment="1">
      <alignment vertical="center" wrapText="1"/>
    </xf>
    <xf numFmtId="0" fontId="0" fillId="0" borderId="21" xfId="0" applyFont="1" applyFill="1" applyBorder="1" applyAlignment="1">
      <alignment vertical="center"/>
    </xf>
    <xf numFmtId="0" fontId="0" fillId="0" borderId="52" xfId="0" applyFont="1" applyFill="1" applyBorder="1" applyAlignment="1">
      <alignment vertical="center"/>
    </xf>
    <xf numFmtId="0" fontId="0" fillId="0" borderId="37" xfId="0" applyFont="1" applyFill="1" applyBorder="1" applyAlignment="1">
      <alignment vertical="center" wrapText="1"/>
    </xf>
    <xf numFmtId="0" fontId="0" fillId="0" borderId="6" xfId="0" applyFont="1" applyFill="1" applyBorder="1" applyAlignment="1">
      <alignment vertical="center"/>
    </xf>
    <xf numFmtId="0" fontId="0" fillId="0" borderId="25" xfId="0" applyFont="1" applyFill="1" applyBorder="1" applyAlignment="1">
      <alignment vertical="center" wrapText="1"/>
    </xf>
    <xf numFmtId="0" fontId="0" fillId="0" borderId="25" xfId="0" applyFont="1" applyFill="1" applyBorder="1" applyAlignment="1">
      <alignment vertical="center"/>
    </xf>
    <xf numFmtId="0" fontId="0" fillId="0" borderId="29" xfId="0" applyFont="1" applyFill="1" applyBorder="1" applyAlignment="1">
      <alignment vertical="center"/>
    </xf>
    <xf numFmtId="0" fontId="0" fillId="0" borderId="40" xfId="0" applyFont="1" applyFill="1" applyBorder="1" applyAlignment="1">
      <alignment vertical="center" wrapText="1"/>
    </xf>
    <xf numFmtId="0" fontId="0" fillId="0" borderId="20" xfId="0" applyFont="1" applyFill="1" applyBorder="1" applyAlignment="1">
      <alignment vertical="center" wrapText="1"/>
    </xf>
    <xf numFmtId="0" fontId="0" fillId="0" borderId="26" xfId="0" applyFont="1" applyFill="1" applyBorder="1" applyAlignment="1">
      <alignment vertical="center" wrapText="1"/>
    </xf>
    <xf numFmtId="0" fontId="0" fillId="0" borderId="39" xfId="0" applyFont="1" applyFill="1" applyBorder="1" applyAlignment="1">
      <alignment vertical="center" wrapText="1"/>
    </xf>
    <xf numFmtId="0" fontId="0" fillId="0" borderId="2" xfId="0" applyFont="1" applyFill="1" applyBorder="1" applyAlignment="1">
      <alignment vertical="center" wrapText="1"/>
    </xf>
    <xf numFmtId="0" fontId="0" fillId="0" borderId="11" xfId="0" applyFont="1" applyFill="1" applyBorder="1" applyAlignment="1">
      <alignment vertical="center" wrapText="1"/>
    </xf>
    <xf numFmtId="0" fontId="0" fillId="0" borderId="43" xfId="0" applyFont="1" applyFill="1" applyBorder="1" applyAlignment="1">
      <alignment vertical="center" wrapText="1"/>
    </xf>
    <xf numFmtId="0" fontId="0" fillId="0" borderId="23" xfId="0" applyFont="1" applyFill="1" applyBorder="1" applyAlignment="1">
      <alignment vertical="center" wrapText="1"/>
    </xf>
    <xf numFmtId="0" fontId="0" fillId="0" borderId="28" xfId="0" applyFont="1" applyFill="1" applyBorder="1" applyAlignment="1">
      <alignment vertical="center"/>
    </xf>
    <xf numFmtId="0" fontId="0" fillId="0" borderId="38" xfId="0" applyFont="1" applyFill="1" applyBorder="1" applyAlignment="1">
      <alignment vertical="center" wrapText="1"/>
    </xf>
    <xf numFmtId="0" fontId="0" fillId="0" borderId="48" xfId="0" applyFont="1" applyFill="1" applyBorder="1" applyAlignment="1">
      <alignment vertical="center" wrapText="1"/>
    </xf>
    <xf numFmtId="0" fontId="0" fillId="0" borderId="56" xfId="0" applyFont="1" applyFill="1" applyBorder="1" applyAlignment="1">
      <alignment vertical="center" wrapText="1"/>
    </xf>
    <xf numFmtId="0" fontId="0" fillId="0" borderId="47" xfId="0" applyFont="1" applyFill="1" applyBorder="1" applyAlignment="1">
      <alignment vertical="center" wrapText="1"/>
    </xf>
    <xf numFmtId="0" fontId="0" fillId="0" borderId="52" xfId="0" applyFont="1" applyFill="1" applyBorder="1" applyAlignment="1">
      <alignment vertical="center" wrapText="1"/>
    </xf>
    <xf numFmtId="0" fontId="0" fillId="0" borderId="24" xfId="0" applyFont="1" applyFill="1" applyBorder="1" applyAlignment="1">
      <alignment vertical="center" wrapText="1"/>
    </xf>
    <xf numFmtId="0" fontId="0" fillId="0" borderId="29" xfId="0" applyFont="1" applyFill="1" applyBorder="1" applyAlignment="1">
      <alignment vertical="center" wrapText="1"/>
    </xf>
    <xf numFmtId="0" fontId="0" fillId="0" borderId="23" xfId="0" applyFont="1" applyFill="1" applyBorder="1" applyAlignment="1">
      <alignment horizontal="left" vertical="center" wrapText="1"/>
    </xf>
    <xf numFmtId="0" fontId="0" fillId="0" borderId="22" xfId="0" applyFont="1" applyFill="1" applyBorder="1" applyAlignment="1">
      <alignment vertical="center" wrapText="1"/>
    </xf>
    <xf numFmtId="0" fontId="0" fillId="0" borderId="27" xfId="0" applyFont="1" applyFill="1" applyBorder="1" applyAlignment="1">
      <alignment vertical="center" wrapText="1"/>
    </xf>
    <xf numFmtId="0" fontId="0" fillId="0" borderId="41" xfId="0" applyFont="1" applyFill="1" applyBorder="1" applyAlignment="1">
      <alignment vertical="center" wrapText="1"/>
    </xf>
    <xf numFmtId="0" fontId="0" fillId="0" borderId="1" xfId="0" applyFill="1" applyBorder="1" applyAlignment="1">
      <alignment vertical="center" wrapText="1"/>
    </xf>
    <xf numFmtId="0" fontId="0" fillId="0" borderId="2" xfId="0" applyFont="1" applyFill="1" applyBorder="1" applyAlignment="1">
      <alignment vertical="center"/>
    </xf>
    <xf numFmtId="0" fontId="0" fillId="0" borderId="11" xfId="0" applyFont="1" applyFill="1" applyBorder="1" applyAlignment="1">
      <alignment vertical="center"/>
    </xf>
    <xf numFmtId="0" fontId="0" fillId="0" borderId="19" xfId="0" applyFont="1" applyFill="1" applyBorder="1" applyAlignment="1">
      <alignment vertical="center"/>
    </xf>
    <xf numFmtId="0" fontId="0" fillId="0" borderId="30" xfId="0" applyFont="1" applyFill="1" applyBorder="1" applyAlignment="1">
      <alignment vertical="center"/>
    </xf>
    <xf numFmtId="0" fontId="0" fillId="0" borderId="4" xfId="0" applyFont="1" applyFill="1" applyBorder="1" applyAlignment="1">
      <alignment vertical="center"/>
    </xf>
    <xf numFmtId="0" fontId="0" fillId="0" borderId="12" xfId="0" applyFont="1" applyFill="1" applyBorder="1" applyAlignment="1">
      <alignment vertical="center"/>
    </xf>
    <xf numFmtId="0" fontId="0" fillId="0" borderId="46" xfId="0" applyFont="1" applyFill="1" applyBorder="1" applyAlignment="1">
      <alignment vertical="center" wrapText="1"/>
    </xf>
    <xf numFmtId="0" fontId="0" fillId="0" borderId="28"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35" xfId="0" applyFont="1" applyFill="1" applyBorder="1" applyAlignment="1">
      <alignment vertical="center" wrapText="1"/>
    </xf>
    <xf numFmtId="0" fontId="2" fillId="0" borderId="1" xfId="0" applyFont="1" applyFill="1" applyBorder="1" applyAlignment="1">
      <alignment vertical="center" wrapText="1"/>
    </xf>
    <xf numFmtId="0" fontId="2" fillId="0" borderId="37" xfId="0" applyFont="1" applyFill="1" applyBorder="1" applyAlignment="1">
      <alignment vertical="center" wrapText="1"/>
    </xf>
    <xf numFmtId="1" fontId="2" fillId="0" borderId="3" xfId="2" applyNumberFormat="1" applyFont="1" applyFill="1" applyBorder="1" applyAlignment="1">
      <alignment vertical="center" wrapText="1"/>
    </xf>
    <xf numFmtId="0" fontId="0" fillId="0" borderId="4" xfId="0" applyFont="1" applyFill="1" applyBorder="1" applyAlignment="1">
      <alignment vertical="center" wrapText="1"/>
    </xf>
    <xf numFmtId="0" fontId="1" fillId="0" borderId="21" xfId="0" applyFont="1" applyFill="1" applyBorder="1" applyAlignment="1">
      <alignment horizontal="center" vertical="center" wrapText="1"/>
    </xf>
    <xf numFmtId="0" fontId="1" fillId="0" borderId="60" xfId="0" applyFont="1" applyBorder="1" applyAlignment="1">
      <alignment horizontal="center" vertical="center" wrapText="1"/>
    </xf>
    <xf numFmtId="0" fontId="1" fillId="0" borderId="121" xfId="0" applyFont="1" applyBorder="1" applyAlignment="1">
      <alignment horizontal="center" vertical="center"/>
    </xf>
    <xf numFmtId="0" fontId="1" fillId="0" borderId="32" xfId="0" applyFont="1" applyBorder="1" applyAlignment="1">
      <alignment horizontal="center" vertical="center"/>
    </xf>
    <xf numFmtId="0" fontId="0" fillId="0" borderId="68" xfId="0" applyFill="1" applyBorder="1" applyAlignment="1">
      <alignment horizontal="center" vertical="center"/>
    </xf>
    <xf numFmtId="0" fontId="0" fillId="0" borderId="44" xfId="0" applyFill="1" applyBorder="1" applyAlignment="1">
      <alignment horizontal="center" vertical="center"/>
    </xf>
    <xf numFmtId="0" fontId="0" fillId="0" borderId="0" xfId="0"/>
    <xf numFmtId="0" fontId="4" fillId="11" borderId="1" xfId="0" applyFont="1" applyFill="1" applyBorder="1" applyAlignment="1">
      <alignment vertical="center" wrapText="1"/>
    </xf>
    <xf numFmtId="0" fontId="1" fillId="9" borderId="1" xfId="0" applyFont="1" applyFill="1" applyBorder="1"/>
    <xf numFmtId="0" fontId="22" fillId="51" borderId="1" xfId="0" applyFont="1" applyFill="1" applyBorder="1" applyAlignment="1">
      <alignment vertical="center" wrapText="1"/>
    </xf>
    <xf numFmtId="0" fontId="1" fillId="5" borderId="1" xfId="0" applyFont="1" applyFill="1" applyBorder="1" applyAlignment="1">
      <alignment vertical="center" wrapText="1"/>
    </xf>
    <xf numFmtId="0" fontId="1" fillId="14" borderId="1" xfId="0" applyFont="1" applyFill="1" applyBorder="1" applyAlignment="1">
      <alignment vertical="center" wrapText="1"/>
    </xf>
    <xf numFmtId="0" fontId="0" fillId="0" borderId="18" xfId="0" applyNumberFormat="1" applyFont="1" applyFill="1" applyBorder="1" applyAlignment="1">
      <alignment vertical="center" wrapText="1"/>
    </xf>
    <xf numFmtId="1" fontId="2" fillId="7" borderId="60" xfId="0" applyNumberFormat="1" applyFont="1" applyFill="1" applyBorder="1" applyAlignment="1">
      <alignment horizontal="center" vertical="center" wrapText="1"/>
    </xf>
    <xf numFmtId="1" fontId="2" fillId="7" borderId="20" xfId="0" applyNumberFormat="1" applyFont="1" applyFill="1" applyBorder="1" applyAlignment="1">
      <alignment horizontal="center" vertical="center" wrapText="1"/>
    </xf>
    <xf numFmtId="1" fontId="2" fillId="7" borderId="91" xfId="0" applyNumberFormat="1" applyFont="1" applyFill="1" applyBorder="1" applyAlignment="1">
      <alignment horizontal="center" vertical="center" wrapText="1"/>
    </xf>
    <xf numFmtId="1" fontId="2" fillId="7" borderId="63" xfId="0" applyNumberFormat="1" applyFont="1" applyFill="1" applyBorder="1" applyAlignment="1">
      <alignment horizontal="center" vertical="center" wrapText="1"/>
    </xf>
    <xf numFmtId="1" fontId="2" fillId="7" borderId="25" xfId="0" applyNumberFormat="1" applyFont="1" applyFill="1" applyBorder="1" applyAlignment="1">
      <alignment horizontal="center" vertical="center" wrapText="1"/>
    </xf>
    <xf numFmtId="1" fontId="2" fillId="7" borderId="90" xfId="0" applyNumberFormat="1" applyFont="1" applyFill="1" applyBorder="1" applyAlignment="1">
      <alignment horizontal="center" vertical="center" wrapText="1"/>
    </xf>
    <xf numFmtId="1" fontId="2" fillId="7" borderId="62" xfId="0"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2" fillId="7" borderId="69" xfId="0" applyNumberFormat="1" applyFont="1" applyFill="1" applyBorder="1" applyAlignment="1">
      <alignment horizontal="center" vertical="center" wrapText="1"/>
    </xf>
    <xf numFmtId="1" fontId="2" fillId="7" borderId="76" xfId="0" applyNumberFormat="1" applyFont="1" applyFill="1" applyBorder="1" applyAlignment="1">
      <alignment horizontal="center" vertical="center" wrapText="1"/>
    </xf>
    <xf numFmtId="1" fontId="2" fillId="7" borderId="21" xfId="0" applyNumberFormat="1" applyFont="1" applyFill="1" applyBorder="1" applyAlignment="1">
      <alignment horizontal="center" vertical="center" wrapText="1"/>
    </xf>
    <xf numFmtId="1" fontId="2" fillId="7" borderId="89" xfId="0" applyNumberFormat="1" applyFont="1" applyFill="1" applyBorder="1" applyAlignment="1">
      <alignment horizontal="center" vertical="center" wrapText="1"/>
    </xf>
    <xf numFmtId="1" fontId="2" fillId="7" borderId="75"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wrapText="1"/>
    </xf>
    <xf numFmtId="1" fontId="2" fillId="7" borderId="14" xfId="0" applyNumberFormat="1" applyFont="1" applyFill="1" applyBorder="1" applyAlignment="1">
      <alignment horizontal="center" vertical="center" wrapText="1"/>
    </xf>
    <xf numFmtId="1" fontId="2" fillId="7" borderId="61" xfId="0" applyNumberFormat="1" applyFont="1" applyFill="1" applyBorder="1" applyAlignment="1">
      <alignment horizontal="center" vertical="center" wrapText="1"/>
    </xf>
    <xf numFmtId="1" fontId="2" fillId="7" borderId="3" xfId="0" applyNumberFormat="1" applyFont="1" applyFill="1" applyBorder="1" applyAlignment="1">
      <alignment horizontal="center" vertical="center" wrapText="1"/>
    </xf>
    <xf numFmtId="1" fontId="2" fillId="7" borderId="18" xfId="0" applyNumberFormat="1" applyFont="1" applyFill="1" applyBorder="1" applyAlignment="1">
      <alignment horizontal="center" vertical="center" wrapText="1"/>
    </xf>
    <xf numFmtId="1" fontId="2" fillId="0" borderId="61"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18"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7" borderId="65" xfId="0" applyNumberFormat="1" applyFont="1" applyFill="1" applyBorder="1" applyAlignment="1">
      <alignment horizontal="center" vertical="center" wrapText="1"/>
    </xf>
    <xf numFmtId="1" fontId="2" fillId="7" borderId="19" xfId="0" applyNumberFormat="1" applyFont="1" applyFill="1" applyBorder="1" applyAlignment="1">
      <alignment horizontal="center" vertical="center" wrapText="1"/>
    </xf>
    <xf numFmtId="1" fontId="2" fillId="7" borderId="88" xfId="0" applyNumberFormat="1" applyFont="1" applyFill="1" applyBorder="1" applyAlignment="1">
      <alignment horizontal="center" vertical="center" wrapText="1"/>
    </xf>
    <xf numFmtId="1" fontId="2" fillId="7" borderId="49" xfId="0" applyNumberFormat="1" applyFont="1" applyFill="1" applyBorder="1" applyAlignment="1">
      <alignment horizontal="center" vertical="center" wrapText="1"/>
    </xf>
    <xf numFmtId="1" fontId="2" fillId="7" borderId="4" xfId="0" applyNumberFormat="1" applyFont="1" applyFill="1" applyBorder="1" applyAlignment="1">
      <alignment horizontal="center" vertical="center" wrapText="1"/>
    </xf>
    <xf numFmtId="1" fontId="2" fillId="7" borderId="0" xfId="0" applyNumberFormat="1" applyFont="1" applyFill="1" applyBorder="1" applyAlignment="1">
      <alignment horizontal="center" vertical="center" wrapText="1"/>
    </xf>
    <xf numFmtId="1" fontId="2" fillId="9" borderId="63" xfId="0" applyNumberFormat="1" applyFont="1" applyFill="1" applyBorder="1" applyAlignment="1">
      <alignment horizontal="center" vertical="center" wrapText="1"/>
    </xf>
    <xf numFmtId="1" fontId="2" fillId="9" borderId="25" xfId="0" applyNumberFormat="1" applyFont="1" applyFill="1" applyBorder="1" applyAlignment="1">
      <alignment horizontal="center" vertical="center" wrapText="1"/>
    </xf>
    <xf numFmtId="1" fontId="2" fillId="9" borderId="90" xfId="0" applyNumberFormat="1" applyFont="1" applyFill="1" applyBorder="1" applyAlignment="1">
      <alignment horizontal="center" vertical="center" wrapText="1"/>
    </xf>
    <xf numFmtId="1" fontId="2" fillId="9" borderId="62" xfId="0" applyNumberFormat="1"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1" fontId="2" fillId="9" borderId="69" xfId="0" applyNumberFormat="1" applyFont="1" applyFill="1" applyBorder="1" applyAlignment="1">
      <alignment horizontal="center" vertical="center" wrapText="1"/>
    </xf>
    <xf numFmtId="1" fontId="25" fillId="7" borderId="76" xfId="0" applyNumberFormat="1" applyFont="1" applyFill="1" applyBorder="1" applyAlignment="1">
      <alignment horizontal="center" vertical="center" wrapText="1"/>
    </xf>
    <xf numFmtId="1" fontId="25" fillId="7" borderId="21" xfId="0" applyNumberFormat="1" applyFont="1" applyFill="1" applyBorder="1" applyAlignment="1">
      <alignment horizontal="center" vertical="center" wrapText="1"/>
    </xf>
    <xf numFmtId="1" fontId="25" fillId="7" borderId="89" xfId="0" applyNumberFormat="1" applyFont="1" applyFill="1" applyBorder="1" applyAlignment="1">
      <alignment horizontal="center" vertical="center" wrapText="1"/>
    </xf>
    <xf numFmtId="1" fontId="2" fillId="7" borderId="64" xfId="0" applyNumberFormat="1" applyFont="1" applyFill="1" applyBorder="1" applyAlignment="1">
      <alignment horizontal="center" vertical="center" wrapText="1"/>
    </xf>
    <xf numFmtId="1" fontId="2" fillId="7" borderId="22" xfId="0" applyNumberFormat="1" applyFont="1" applyFill="1" applyBorder="1" applyAlignment="1">
      <alignment horizontal="center" vertical="center" wrapText="1"/>
    </xf>
    <xf numFmtId="1" fontId="2" fillId="7" borderId="93" xfId="0" applyNumberFormat="1" applyFont="1" applyFill="1" applyBorder="1" applyAlignment="1">
      <alignment horizontal="center" vertical="center" wrapText="1"/>
    </xf>
    <xf numFmtId="0" fontId="2" fillId="7" borderId="14" xfId="0" applyNumberFormat="1" applyFont="1" applyFill="1" applyBorder="1" applyAlignment="1">
      <alignment horizontal="center" vertical="center" wrapText="1"/>
    </xf>
    <xf numFmtId="0" fontId="2" fillId="7" borderId="21" xfId="0" applyNumberFormat="1" applyFont="1" applyFill="1" applyBorder="1" applyAlignment="1">
      <alignment horizontal="center" vertical="center" wrapText="1"/>
    </xf>
    <xf numFmtId="0" fontId="4" fillId="10" borderId="78" xfId="0" applyNumberFormat="1" applyFont="1" applyFill="1" applyBorder="1" applyAlignment="1">
      <alignment horizontal="center" vertical="center"/>
    </xf>
    <xf numFmtId="0" fontId="4" fillId="10" borderId="57" xfId="0" applyNumberFormat="1" applyFont="1" applyFill="1" applyBorder="1" applyAlignment="1">
      <alignment horizontal="center" vertical="center"/>
    </xf>
    <xf numFmtId="1" fontId="2" fillId="7" borderId="39" xfId="0" applyNumberFormat="1" applyFont="1" applyFill="1" applyBorder="1" applyAlignment="1">
      <alignment horizontal="center" vertical="center" wrapText="1"/>
    </xf>
    <xf numFmtId="1" fontId="2" fillId="7" borderId="40" xfId="0" applyNumberFormat="1" applyFont="1" applyFill="1" applyBorder="1" applyAlignment="1">
      <alignment horizontal="center" vertical="center" wrapText="1"/>
    </xf>
    <xf numFmtId="1" fontId="2" fillId="7" borderId="36" xfId="0" applyNumberFormat="1" applyFont="1" applyFill="1" applyBorder="1" applyAlignment="1">
      <alignment horizontal="center" vertical="center" wrapText="1"/>
    </xf>
    <xf numFmtId="1" fontId="2" fillId="7" borderId="37" xfId="0" applyNumberFormat="1" applyFont="1" applyFill="1" applyBorder="1" applyAlignment="1">
      <alignment horizontal="center" vertical="center" wrapText="1"/>
    </xf>
    <xf numFmtId="1" fontId="2" fillId="7" borderId="43" xfId="0" applyNumberFormat="1" applyFont="1" applyFill="1" applyBorder="1" applyAlignment="1">
      <alignment horizontal="center" vertical="center" wrapText="1"/>
    </xf>
    <xf numFmtId="1" fontId="2" fillId="7" borderId="35" xfId="0" applyNumberFormat="1" applyFont="1" applyFill="1" applyBorder="1" applyAlignment="1">
      <alignment horizontal="center" vertical="center" wrapText="1"/>
    </xf>
    <xf numFmtId="1" fontId="2" fillId="0" borderId="35" xfId="0" applyNumberFormat="1" applyFont="1" applyFill="1" applyBorder="1" applyAlignment="1">
      <alignment horizontal="center" vertical="center" wrapText="1"/>
    </xf>
    <xf numFmtId="1" fontId="2" fillId="0" borderId="46" xfId="0" applyNumberFormat="1" applyFont="1" applyFill="1" applyBorder="1" applyAlignment="1">
      <alignment horizontal="center" vertical="center" wrapText="1"/>
    </xf>
    <xf numFmtId="1" fontId="2" fillId="7" borderId="33" xfId="0" applyNumberFormat="1" applyFont="1" applyFill="1" applyBorder="1" applyAlignment="1">
      <alignment horizontal="center" vertical="center" wrapText="1"/>
    </xf>
    <xf numFmtId="1" fontId="2" fillId="7" borderId="46" xfId="0" applyNumberFormat="1" applyFont="1" applyFill="1" applyBorder="1" applyAlignment="1">
      <alignment horizontal="center" vertical="center" wrapText="1"/>
    </xf>
    <xf numFmtId="1" fontId="2" fillId="9" borderId="40" xfId="0" applyNumberFormat="1" applyFont="1" applyFill="1" applyBorder="1" applyAlignment="1">
      <alignment horizontal="center" vertical="center" wrapText="1"/>
    </xf>
    <xf numFmtId="1" fontId="2" fillId="9" borderId="36" xfId="0" applyNumberFormat="1" applyFont="1" applyFill="1" applyBorder="1" applyAlignment="1">
      <alignment horizontal="center" vertical="center" wrapText="1"/>
    </xf>
    <xf numFmtId="0" fontId="2" fillId="7" borderId="43" xfId="0" applyNumberFormat="1" applyFont="1" applyFill="1" applyBorder="1" applyAlignment="1">
      <alignment horizontal="center" vertical="center" wrapText="1"/>
    </xf>
    <xf numFmtId="1" fontId="25" fillId="7" borderId="37" xfId="0" applyNumberFormat="1" applyFont="1" applyFill="1" applyBorder="1" applyAlignment="1">
      <alignment horizontal="center" vertical="center" wrapText="1"/>
    </xf>
    <xf numFmtId="1" fontId="2" fillId="7" borderId="41" xfId="0" applyNumberFormat="1" applyFont="1" applyFill="1" applyBorder="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xf>
    <xf numFmtId="165" fontId="0" fillId="0" borderId="1" xfId="0" applyNumberFormat="1" applyFont="1" applyFill="1" applyBorder="1" applyAlignment="1">
      <alignment horizontal="center" vertical="center"/>
    </xf>
    <xf numFmtId="165" fontId="0" fillId="0" borderId="13" xfId="0" applyNumberFormat="1" applyFont="1" applyFill="1" applyBorder="1" applyAlignment="1">
      <alignment horizontal="center" vertical="center"/>
    </xf>
    <xf numFmtId="165" fontId="0" fillId="0" borderId="50" xfId="0" applyNumberFormat="1" applyFont="1" applyFill="1" applyBorder="1" applyAlignment="1">
      <alignment horizontal="center" vertical="center"/>
    </xf>
    <xf numFmtId="0" fontId="0" fillId="5" borderId="1" xfId="0" applyFont="1" applyFill="1" applyBorder="1" applyAlignment="1">
      <alignment vertical="center"/>
    </xf>
    <xf numFmtId="0" fontId="0" fillId="0" borderId="1" xfId="0" applyFont="1" applyBorder="1" applyAlignment="1">
      <alignment vertical="center"/>
    </xf>
    <xf numFmtId="0" fontId="1" fillId="0" borderId="4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33"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65" xfId="0" applyFont="1" applyBorder="1" applyAlignment="1">
      <alignment horizontal="center" vertical="center"/>
    </xf>
    <xf numFmtId="0" fontId="1" fillId="0" borderId="19" xfId="0" applyFont="1" applyBorder="1" applyAlignment="1">
      <alignment horizontal="center" vertical="center"/>
    </xf>
    <xf numFmtId="0" fontId="1" fillId="0" borderId="33" xfId="0" applyFont="1" applyBorder="1" applyAlignment="1">
      <alignment horizontal="center" vertical="center"/>
    </xf>
    <xf numFmtId="0" fontId="1" fillId="0" borderId="44" xfId="0" applyFont="1" applyBorder="1" applyAlignment="1">
      <alignment horizontal="center" vertical="center"/>
    </xf>
    <xf numFmtId="0" fontId="1" fillId="0" borderId="16" xfId="0" applyFont="1" applyBorder="1" applyAlignment="1">
      <alignment horizontal="center" vertical="center"/>
    </xf>
    <xf numFmtId="0" fontId="1" fillId="0" borderId="123" xfId="0" applyFont="1" applyBorder="1" applyAlignment="1">
      <alignment horizontal="center" vertical="center"/>
    </xf>
    <xf numFmtId="0" fontId="1" fillId="0" borderId="78"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 fillId="0" borderId="3" xfId="0" applyFont="1" applyFill="1" applyBorder="1" applyAlignment="1">
      <alignment horizontal="center" vertical="center"/>
    </xf>
    <xf numFmtId="0" fontId="1" fillId="0" borderId="35" xfId="0" applyFont="1" applyFill="1" applyBorder="1" applyAlignment="1">
      <alignment vertical="center"/>
    </xf>
    <xf numFmtId="0" fontId="0" fillId="0" borderId="51" xfId="0" applyBorder="1" applyAlignment="1">
      <alignment vertical="center"/>
    </xf>
    <xf numFmtId="2" fontId="11" fillId="0" borderId="1" xfId="0" applyNumberFormat="1" applyFont="1" applyFill="1" applyBorder="1" applyAlignment="1">
      <alignment horizontal="center" vertical="center"/>
    </xf>
    <xf numFmtId="1" fontId="0" fillId="0" borderId="3" xfId="0" applyNumberFormat="1" applyFill="1" applyBorder="1" applyAlignment="1">
      <alignment horizontal="center" vertical="center"/>
    </xf>
    <xf numFmtId="1" fontId="0" fillId="0" borderId="35" xfId="0" applyNumberFormat="1" applyFill="1" applyBorder="1" applyAlignment="1">
      <alignment horizontal="center" vertical="center"/>
    </xf>
    <xf numFmtId="0" fontId="0" fillId="0" borderId="62" xfId="0" applyBorder="1" applyAlignment="1">
      <alignment horizontal="center" vertical="center"/>
    </xf>
    <xf numFmtId="0" fontId="0" fillId="0" borderId="36" xfId="0" applyFill="1" applyBorder="1" applyAlignment="1">
      <alignment vertical="center"/>
    </xf>
    <xf numFmtId="0" fontId="0" fillId="0" borderId="50" xfId="0" applyBorder="1" applyAlignment="1">
      <alignment vertical="center"/>
    </xf>
    <xf numFmtId="0" fontId="0" fillId="0" borderId="62" xfId="0" applyFill="1" applyBorder="1" applyAlignment="1">
      <alignment horizontal="center" vertical="center"/>
    </xf>
    <xf numFmtId="1" fontId="0" fillId="0" borderId="1" xfId="0" applyNumberFormat="1" applyFill="1" applyBorder="1" applyAlignment="1">
      <alignment horizontal="center" vertical="center"/>
    </xf>
    <xf numFmtId="1" fontId="0" fillId="0" borderId="36" xfId="0" applyNumberFormat="1" applyFill="1" applyBorder="1" applyAlignment="1">
      <alignment horizontal="center" vertical="center"/>
    </xf>
    <xf numFmtId="0" fontId="0" fillId="0" borderId="75" xfId="0" applyBorder="1" applyAlignment="1">
      <alignment horizontal="center" vertical="center"/>
    </xf>
    <xf numFmtId="0" fontId="0" fillId="0" borderId="2" xfId="0" applyBorder="1" applyAlignment="1">
      <alignment horizontal="center" vertical="center"/>
    </xf>
    <xf numFmtId="0" fontId="0" fillId="0" borderId="43" xfId="0" applyFill="1" applyBorder="1" applyAlignment="1">
      <alignment vertical="center"/>
    </xf>
    <xf numFmtId="0" fontId="0" fillId="0" borderId="68" xfId="0" applyBorder="1" applyAlignment="1">
      <alignment vertical="center"/>
    </xf>
    <xf numFmtId="0" fontId="0" fillId="0" borderId="2" xfId="0" applyBorder="1" applyAlignment="1">
      <alignment vertical="center"/>
    </xf>
    <xf numFmtId="0" fontId="0" fillId="0" borderId="43" xfId="0" applyFill="1" applyBorder="1" applyAlignment="1">
      <alignment horizontal="center" vertical="center"/>
    </xf>
    <xf numFmtId="2" fontId="11" fillId="0" borderId="23"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0" fontId="0" fillId="0" borderId="75" xfId="0" applyFill="1" applyBorder="1" applyAlignment="1">
      <alignment horizontal="center" vertical="center"/>
    </xf>
    <xf numFmtId="1" fontId="0" fillId="0" borderId="2" xfId="0" applyNumberFormat="1" applyFill="1" applyBorder="1" applyAlignment="1">
      <alignment horizontal="center" vertical="center"/>
    </xf>
    <xf numFmtId="1" fontId="0" fillId="0" borderId="43" xfId="0" applyNumberFormat="1" applyFill="1" applyBorder="1" applyAlignment="1">
      <alignment horizontal="center" vertical="center"/>
    </xf>
    <xf numFmtId="0" fontId="4" fillId="0" borderId="19" xfId="0" applyFont="1" applyFill="1" applyBorder="1" applyAlignment="1">
      <alignment horizontal="center" vertical="center"/>
    </xf>
    <xf numFmtId="0" fontId="4" fillId="0" borderId="33" xfId="0" applyFont="1" applyFill="1" applyBorder="1" applyAlignment="1">
      <alignment vertical="center"/>
    </xf>
    <xf numFmtId="0" fontId="0" fillId="0" borderId="44" xfId="0" applyBorder="1" applyAlignment="1">
      <alignment vertical="center"/>
    </xf>
    <xf numFmtId="0" fontId="0" fillId="0" borderId="19" xfId="0" applyBorder="1" applyAlignment="1">
      <alignment vertical="center"/>
    </xf>
    <xf numFmtId="0" fontId="0" fillId="0" borderId="19" xfId="0" applyFill="1" applyBorder="1" applyAlignment="1">
      <alignment horizontal="center" vertical="center"/>
    </xf>
    <xf numFmtId="0" fontId="0" fillId="0" borderId="33" xfId="0" applyFill="1" applyBorder="1" applyAlignment="1">
      <alignment horizontal="center" vertical="center"/>
    </xf>
    <xf numFmtId="2" fontId="11" fillId="0" borderId="19" xfId="0" applyNumberFormat="1" applyFont="1" applyFill="1" applyBorder="1" applyAlignment="1">
      <alignment horizontal="center" vertical="center"/>
    </xf>
    <xf numFmtId="0" fontId="0" fillId="0" borderId="19" xfId="0" applyFill="1" applyBorder="1" applyAlignment="1">
      <alignment vertical="center"/>
    </xf>
    <xf numFmtId="1" fontId="0" fillId="0" borderId="19" xfId="0" applyNumberFormat="1" applyFill="1" applyBorder="1" applyAlignment="1">
      <alignment horizontal="center" vertical="center"/>
    </xf>
    <xf numFmtId="1" fontId="0" fillId="0" borderId="33" xfId="0" applyNumberFormat="1" applyFill="1" applyBorder="1" applyAlignment="1">
      <alignment horizontal="center" vertical="center"/>
    </xf>
    <xf numFmtId="0" fontId="2" fillId="0" borderId="19" xfId="0" applyFont="1" applyFill="1" applyBorder="1" applyAlignment="1">
      <alignment horizontal="center" vertical="center"/>
    </xf>
    <xf numFmtId="0" fontId="0" fillId="0" borderId="70" xfId="0" applyFill="1" applyBorder="1" applyAlignment="1">
      <alignment horizontal="center" vertical="center"/>
    </xf>
    <xf numFmtId="0" fontId="0" fillId="0" borderId="23" xfId="0" applyBorder="1" applyAlignment="1">
      <alignment horizontal="center" vertical="center"/>
    </xf>
    <xf numFmtId="0" fontId="0" fillId="0" borderId="38" xfId="0" applyFill="1" applyBorder="1" applyAlignment="1">
      <alignment vertical="center"/>
    </xf>
    <xf numFmtId="0" fontId="0" fillId="0" borderId="45" xfId="0" applyBorder="1" applyAlignment="1">
      <alignment vertical="center"/>
    </xf>
    <xf numFmtId="1" fontId="0" fillId="0" borderId="23" xfId="0" applyNumberFormat="1" applyFill="1" applyBorder="1" applyAlignment="1">
      <alignment horizontal="center" vertical="center"/>
    </xf>
    <xf numFmtId="1" fontId="0" fillId="0" borderId="38" xfId="0" applyNumberFormat="1" applyFill="1" applyBorder="1" applyAlignment="1">
      <alignment horizontal="center" vertical="center"/>
    </xf>
    <xf numFmtId="0" fontId="1" fillId="0" borderId="33" xfId="0" applyFont="1" applyFill="1" applyBorder="1" applyAlignment="1">
      <alignment vertical="center"/>
    </xf>
    <xf numFmtId="0" fontId="0" fillId="0" borderId="70" xfId="0" applyBorder="1" applyAlignment="1">
      <alignment horizontal="center" vertical="center"/>
    </xf>
    <xf numFmtId="0" fontId="0" fillId="0" borderId="44" xfId="0" applyFill="1" applyBorder="1" applyAlignment="1">
      <alignment vertical="center"/>
    </xf>
    <xf numFmtId="2" fontId="11" fillId="0" borderId="3" xfId="0" applyNumberFormat="1" applyFont="1" applyFill="1" applyBorder="1" applyAlignment="1">
      <alignment horizontal="center" vertical="center"/>
    </xf>
    <xf numFmtId="2" fontId="11" fillId="0" borderId="22" xfId="0" applyNumberFormat="1" applyFont="1" applyFill="1" applyBorder="1" applyAlignment="1">
      <alignment horizontal="center" vertical="center"/>
    </xf>
    <xf numFmtId="0" fontId="0" fillId="0" borderId="51" xfId="0" applyFill="1" applyBorder="1" applyAlignment="1">
      <alignment vertical="center"/>
    </xf>
    <xf numFmtId="0" fontId="0" fillId="0" borderId="109" xfId="0" applyFill="1" applyBorder="1" applyAlignment="1">
      <alignment horizontal="center" vertical="center"/>
    </xf>
    <xf numFmtId="0" fontId="0" fillId="0" borderId="9" xfId="0" applyFill="1"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8" xfId="0" applyFill="1" applyBorder="1" applyAlignment="1">
      <alignment horizontal="center" vertical="center"/>
    </xf>
    <xf numFmtId="0" fontId="0" fillId="0" borderId="31" xfId="0" applyFill="1" applyBorder="1" applyAlignment="1">
      <alignment horizontal="center" vertical="center"/>
    </xf>
    <xf numFmtId="0" fontId="2" fillId="0" borderId="8" xfId="0" applyFont="1" applyFill="1" applyBorder="1" applyAlignment="1">
      <alignment horizontal="center" vertical="center"/>
    </xf>
    <xf numFmtId="0" fontId="0" fillId="0" borderId="9" xfId="0" applyBorder="1" applyAlignment="1">
      <alignment horizontal="center" vertical="center"/>
    </xf>
    <xf numFmtId="0" fontId="30" fillId="0" borderId="88" xfId="0" applyFont="1" applyFill="1" applyBorder="1" applyAlignment="1">
      <alignment horizontal="center" vertical="center"/>
    </xf>
    <xf numFmtId="0" fontId="0" fillId="0" borderId="0" xfId="0" applyNumberFormat="1" applyFill="1" applyBorder="1" applyAlignment="1">
      <alignment vertical="center"/>
    </xf>
    <xf numFmtId="0" fontId="0" fillId="0" borderId="0" xfId="0" applyFill="1" applyBorder="1" applyAlignment="1">
      <alignment vertical="center"/>
    </xf>
    <xf numFmtId="10" fontId="0" fillId="0" borderId="0" xfId="0" applyNumberFormat="1" applyFill="1" applyBorder="1" applyAlignment="1">
      <alignment vertical="center"/>
    </xf>
    <xf numFmtId="0" fontId="0" fillId="0" borderId="93" xfId="0" applyFill="1" applyBorder="1" applyAlignment="1">
      <alignment vertical="center"/>
    </xf>
    <xf numFmtId="10" fontId="0" fillId="0" borderId="93" xfId="0" applyNumberFormat="1" applyFill="1" applyBorder="1" applyAlignment="1">
      <alignment vertical="center"/>
    </xf>
    <xf numFmtId="0" fontId="1" fillId="0" borderId="51" xfId="0" applyFont="1" applyFill="1" applyBorder="1" applyAlignment="1">
      <alignment horizontal="center" vertical="center"/>
    </xf>
    <xf numFmtId="0" fontId="4" fillId="0" borderId="5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3" xfId="0" applyFont="1" applyBorder="1" applyAlignment="1">
      <alignment horizontal="center" vertical="center"/>
    </xf>
    <xf numFmtId="0" fontId="1" fillId="0" borderId="61" xfId="0" applyFont="1" applyBorder="1" applyAlignment="1">
      <alignment horizontal="center" vertical="center"/>
    </xf>
    <xf numFmtId="0" fontId="1" fillId="0" borderId="30" xfId="0" applyFont="1" applyFill="1" applyBorder="1" applyAlignment="1">
      <alignment horizontal="center" vertical="center"/>
    </xf>
    <xf numFmtId="0" fontId="0" fillId="50" borderId="3" xfId="0" applyFont="1" applyFill="1" applyBorder="1" applyAlignment="1">
      <alignment vertical="center"/>
    </xf>
    <xf numFmtId="0" fontId="0" fillId="0" borderId="3" xfId="0" applyFont="1" applyBorder="1" applyAlignment="1">
      <alignment horizontal="center" vertical="center" wrapText="1"/>
    </xf>
    <xf numFmtId="1" fontId="0" fillId="0" borderId="0" xfId="0" applyNumberFormat="1" applyFont="1" applyAlignment="1">
      <alignment vertical="center"/>
    </xf>
    <xf numFmtId="0" fontId="0" fillId="50" borderId="1" xfId="0" applyFont="1" applyFill="1" applyBorder="1" applyAlignment="1">
      <alignment vertical="center"/>
    </xf>
    <xf numFmtId="0" fontId="0" fillId="50" borderId="23" xfId="0" applyFont="1" applyFill="1" applyBorder="1" applyAlignment="1">
      <alignment vertical="center"/>
    </xf>
    <xf numFmtId="0" fontId="0" fillId="0" borderId="23" xfId="0" applyFont="1" applyBorder="1" applyAlignment="1">
      <alignment horizontal="center" vertical="center" wrapText="1"/>
    </xf>
    <xf numFmtId="165" fontId="0" fillId="0" borderId="3"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2" fontId="0" fillId="0" borderId="23"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2" fontId="0" fillId="0" borderId="0" xfId="0" applyNumberFormat="1" applyFont="1" applyFill="1" applyAlignment="1">
      <alignment horizontal="center"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3" xfId="0" applyFont="1" applyBorder="1" applyAlignment="1">
      <alignment horizontal="center" vertical="center"/>
    </xf>
    <xf numFmtId="0" fontId="0" fillId="0" borderId="1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28" xfId="0" applyFont="1" applyBorder="1" applyAlignment="1">
      <alignment horizontal="center" vertical="center"/>
    </xf>
    <xf numFmtId="0" fontId="0" fillId="0" borderId="82" xfId="0" applyFont="1" applyFill="1" applyBorder="1" applyAlignment="1">
      <alignment horizontal="center" vertical="center"/>
    </xf>
    <xf numFmtId="0" fontId="1" fillId="0" borderId="26" xfId="0" applyFont="1" applyBorder="1" applyAlignment="1">
      <alignment horizontal="center" vertical="center" wrapText="1"/>
    </xf>
    <xf numFmtId="9" fontId="32" fillId="0" borderId="3" xfId="55" applyNumberFormat="1" applyFill="1" applyBorder="1" applyAlignment="1">
      <alignment horizontal="center" vertical="center"/>
    </xf>
    <xf numFmtId="9" fontId="32" fillId="0" borderId="22" xfId="55" applyNumberFormat="1" applyFill="1" applyBorder="1" applyAlignment="1">
      <alignment horizontal="center" vertical="center"/>
    </xf>
    <xf numFmtId="0" fontId="2" fillId="7" borderId="61" xfId="0" applyFont="1" applyFill="1" applyBorder="1" applyAlignment="1">
      <alignment horizontal="center" vertical="center"/>
    </xf>
    <xf numFmtId="0" fontId="0" fillId="7" borderId="3" xfId="0" applyFont="1" applyFill="1" applyBorder="1" applyAlignment="1">
      <alignment horizontal="center" vertical="center"/>
    </xf>
    <xf numFmtId="0" fontId="2" fillId="7" borderId="62" xfId="0" applyFont="1" applyFill="1" applyBorder="1" applyAlignment="1">
      <alignment horizontal="center" vertical="center"/>
    </xf>
    <xf numFmtId="0" fontId="0" fillId="7" borderId="1" xfId="0" applyFont="1" applyFill="1" applyBorder="1" applyAlignment="1">
      <alignment horizontal="center" vertical="center"/>
    </xf>
    <xf numFmtId="0" fontId="2" fillId="7" borderId="70" xfId="0" applyFont="1" applyFill="1" applyBorder="1" applyAlignment="1">
      <alignment horizontal="center" vertical="center"/>
    </xf>
    <xf numFmtId="0" fontId="0" fillId="7" borderId="23" xfId="0" applyFont="1" applyFill="1" applyBorder="1" applyAlignment="1">
      <alignment horizontal="center" vertical="center"/>
    </xf>
    <xf numFmtId="0" fontId="2" fillId="7" borderId="3" xfId="0" applyFont="1" applyFill="1" applyBorder="1" applyAlignment="1">
      <alignment horizontal="center" vertical="center"/>
    </xf>
    <xf numFmtId="9" fontId="32" fillId="0" borderId="23" xfId="55" applyNumberForma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9" fontId="32" fillId="5" borderId="3" xfId="55" applyNumberFormat="1" applyFill="1" applyBorder="1" applyAlignment="1">
      <alignment horizontal="center" vertical="center"/>
    </xf>
    <xf numFmtId="0" fontId="2" fillId="7" borderId="23" xfId="0" applyFont="1" applyFill="1" applyBorder="1" applyAlignment="1">
      <alignment horizontal="center" vertical="center"/>
    </xf>
    <xf numFmtId="0" fontId="36" fillId="0" borderId="0" xfId="76" applyFont="1" applyFill="1" applyBorder="1" applyAlignment="1">
      <alignment horizontal="center" vertical="center" wrapText="1"/>
    </xf>
    <xf numFmtId="0" fontId="0" fillId="0" borderId="0" xfId="0" applyFill="1" applyBorder="1" applyAlignment="1">
      <alignment horizontal="center" vertical="center"/>
    </xf>
    <xf numFmtId="0" fontId="2" fillId="7" borderId="1" xfId="0" applyFont="1" applyFill="1" applyBorder="1" applyAlignment="1">
      <alignment horizontal="center" vertical="center"/>
    </xf>
    <xf numFmtId="1" fontId="37" fillId="0" borderId="0" xfId="0" applyNumberFormat="1" applyFont="1" applyFill="1" applyBorder="1" applyAlignment="1">
      <alignment vertical="center" wrapText="1"/>
    </xf>
    <xf numFmtId="0" fontId="36" fillId="0" borderId="0" xfId="75" applyFont="1" applyFill="1" applyBorder="1" applyAlignment="1">
      <alignment horizontal="center" vertical="center" wrapText="1"/>
    </xf>
    <xf numFmtId="1" fontId="39" fillId="0" borderId="0" xfId="0" applyNumberFormat="1" applyFont="1" applyFill="1" applyBorder="1" applyAlignment="1">
      <alignment vertical="center" wrapText="1"/>
    </xf>
    <xf numFmtId="0" fontId="39" fillId="0" borderId="0" xfId="0" applyNumberFormat="1" applyFont="1" applyFill="1" applyBorder="1" applyAlignment="1">
      <alignment horizontal="left" vertical="center" wrapText="1"/>
    </xf>
    <xf numFmtId="0" fontId="2" fillId="53" borderId="0" xfId="0" applyFont="1" applyFill="1" applyBorder="1" applyAlignment="1">
      <alignment horizontal="center" vertical="center"/>
    </xf>
    <xf numFmtId="0" fontId="37" fillId="0" borderId="0" xfId="0" applyNumberFormat="1" applyFont="1" applyFill="1" applyBorder="1" applyAlignment="1">
      <alignment vertical="center" wrapText="1"/>
    </xf>
    <xf numFmtId="1" fontId="37" fillId="53" borderId="0" xfId="0" applyNumberFormat="1" applyFont="1" applyFill="1" applyBorder="1" applyAlignment="1">
      <alignment vertical="center" wrapText="1"/>
    </xf>
    <xf numFmtId="1" fontId="39" fillId="0" borderId="0" xfId="0" applyNumberFormat="1" applyFont="1" applyFill="1" applyBorder="1" applyAlignment="1">
      <alignment horizontal="center" vertical="center" wrapText="1"/>
    </xf>
    <xf numFmtId="0" fontId="32" fillId="5" borderId="23" xfId="55" applyFill="1" applyBorder="1" applyAlignment="1">
      <alignment horizontal="center" vertical="center"/>
    </xf>
    <xf numFmtId="0" fontId="1" fillId="7" borderId="54" xfId="0" applyFont="1" applyFill="1" applyBorder="1" applyAlignment="1">
      <alignment vertical="center"/>
    </xf>
    <xf numFmtId="0" fontId="1" fillId="7" borderId="21" xfId="0" applyFont="1" applyFill="1" applyBorder="1" applyAlignment="1">
      <alignment horizontal="center" vertical="center" wrapText="1"/>
    </xf>
    <xf numFmtId="0" fontId="1" fillId="7" borderId="76"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37" xfId="0" applyFont="1" applyFill="1" applyBorder="1" applyAlignment="1">
      <alignment vertical="center"/>
    </xf>
    <xf numFmtId="0" fontId="1" fillId="7" borderId="5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2" fillId="14" borderId="23" xfId="0" applyFont="1" applyFill="1" applyBorder="1" applyAlignment="1">
      <alignment horizontal="center" vertical="center"/>
    </xf>
    <xf numFmtId="0" fontId="0" fillId="14" borderId="19" xfId="0" applyFill="1" applyBorder="1" applyAlignment="1">
      <alignment horizontal="center" vertical="center"/>
    </xf>
    <xf numFmtId="0" fontId="2" fillId="14" borderId="19" xfId="0" applyFont="1" applyFill="1" applyBorder="1" applyAlignment="1">
      <alignment horizontal="center" vertical="center"/>
    </xf>
    <xf numFmtId="0" fontId="0" fillId="14" borderId="2" xfId="0" applyFill="1" applyBorder="1" applyAlignment="1">
      <alignment horizontal="center" vertical="center"/>
    </xf>
    <xf numFmtId="0" fontId="32" fillId="5" borderId="3" xfId="55" applyFill="1" applyBorder="1" applyAlignment="1">
      <alignment horizontal="center" vertical="center"/>
    </xf>
    <xf numFmtId="0" fontId="0" fillId="0" borderId="51" xfId="0" applyFont="1" applyBorder="1" applyProtection="1"/>
    <xf numFmtId="0" fontId="1" fillId="2" borderId="35" xfId="0" applyFont="1" applyFill="1" applyBorder="1" applyAlignment="1" applyProtection="1">
      <alignment horizontal="center"/>
      <protection locked="0"/>
    </xf>
    <xf numFmtId="0" fontId="0" fillId="0" borderId="50" xfId="0" applyFont="1" applyBorder="1" applyProtection="1"/>
    <xf numFmtId="0" fontId="1" fillId="2" borderId="36" xfId="0" applyFont="1" applyFill="1" applyBorder="1" applyAlignment="1" applyProtection="1">
      <alignment horizontal="center"/>
      <protection locked="0"/>
    </xf>
    <xf numFmtId="0" fontId="0" fillId="0" borderId="50" xfId="0" quotePrefix="1" applyFont="1" applyBorder="1" applyAlignment="1" applyProtection="1">
      <alignment horizontal="left" vertical="center"/>
    </xf>
    <xf numFmtId="0" fontId="0" fillId="0" borderId="45" xfId="0" applyFont="1" applyBorder="1" applyProtection="1"/>
    <xf numFmtId="0" fontId="1" fillId="2" borderId="38" xfId="0" applyFont="1" applyFill="1" applyBorder="1" applyAlignment="1" applyProtection="1">
      <alignment horizontal="center"/>
      <protection locked="0"/>
    </xf>
    <xf numFmtId="0" fontId="1" fillId="55" borderId="53" xfId="0" applyFont="1" applyFill="1" applyBorder="1" applyProtection="1"/>
    <xf numFmtId="0" fontId="1" fillId="55" borderId="47" xfId="0" applyFont="1" applyFill="1" applyBorder="1" applyAlignment="1" applyProtection="1">
      <alignment horizontal="center"/>
    </xf>
    <xf numFmtId="0" fontId="0" fillId="0" borderId="51" xfId="0" applyFont="1" applyBorder="1" applyAlignment="1" applyProtection="1">
      <alignment horizontal="left"/>
    </xf>
    <xf numFmtId="0" fontId="1" fillId="3" borderId="35" xfId="0" applyFont="1" applyFill="1" applyBorder="1" applyAlignment="1" applyProtection="1">
      <alignment horizontal="center"/>
      <protection locked="0"/>
    </xf>
    <xf numFmtId="0" fontId="0" fillId="0" borderId="50" xfId="0" applyFont="1" applyFill="1" applyBorder="1" applyProtection="1"/>
    <xf numFmtId="9" fontId="0" fillId="3" borderId="36" xfId="0" applyNumberFormat="1" applyFill="1" applyBorder="1" applyAlignment="1">
      <alignment horizontal="center"/>
    </xf>
    <xf numFmtId="0" fontId="0" fillId="0" borderId="38" xfId="0" applyBorder="1" applyAlignment="1">
      <alignment horizontal="center"/>
    </xf>
    <xf numFmtId="0" fontId="1" fillId="0" borderId="30" xfId="0" applyFont="1" applyBorder="1" applyAlignment="1">
      <alignment horizontal="center" vertical="center"/>
    </xf>
    <xf numFmtId="0" fontId="1" fillId="0" borderId="6" xfId="0" applyFont="1"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4" fillId="0" borderId="30" xfId="0" applyFont="1" applyFill="1" applyBorder="1" applyAlignment="1">
      <alignment horizontal="center" vertical="center"/>
    </xf>
    <xf numFmtId="0" fontId="0" fillId="0" borderId="28" xfId="0" applyFill="1" applyBorder="1" applyAlignment="1">
      <alignment horizontal="center" vertical="center"/>
    </xf>
    <xf numFmtId="0" fontId="0" fillId="0" borderId="125" xfId="0" applyBorder="1" applyAlignment="1">
      <alignment horizontal="center" vertical="center"/>
    </xf>
    <xf numFmtId="0" fontId="1" fillId="0" borderId="76"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37" xfId="0" applyFont="1" applyFill="1" applyBorder="1" applyAlignment="1">
      <alignment vertical="center"/>
    </xf>
    <xf numFmtId="0" fontId="1" fillId="0" borderId="76" xfId="0" applyFont="1" applyFill="1" applyBorder="1" applyAlignment="1">
      <alignment horizontal="center" vertical="center" wrapText="1"/>
    </xf>
    <xf numFmtId="0" fontId="1" fillId="0" borderId="52" xfId="0" applyFont="1" applyFill="1" applyBorder="1" applyAlignment="1">
      <alignment horizontal="center" vertical="center" wrapText="1"/>
    </xf>
    <xf numFmtId="165" fontId="1" fillId="0" borderId="6"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1" fontId="1" fillId="0" borderId="6" xfId="0" applyNumberFormat="1" applyFont="1" applyFill="1" applyBorder="1" applyAlignment="1">
      <alignment horizontal="center" vertical="center"/>
    </xf>
    <xf numFmtId="165" fontId="0" fillId="0" borderId="28" xfId="0" applyNumberFormat="1" applyFill="1" applyBorder="1" applyAlignment="1">
      <alignment horizontal="center" vertical="center"/>
    </xf>
    <xf numFmtId="1" fontId="0" fillId="0" borderId="28" xfId="0" applyNumberFormat="1" applyFill="1" applyBorder="1" applyAlignment="1">
      <alignment horizontal="center" vertical="center"/>
    </xf>
    <xf numFmtId="165" fontId="0" fillId="0" borderId="13" xfId="0" applyNumberFormat="1" applyFill="1" applyBorder="1" applyAlignment="1">
      <alignment horizontal="center" vertical="center"/>
    </xf>
    <xf numFmtId="165" fontId="0" fillId="0" borderId="11" xfId="0" applyNumberFormat="1" applyFill="1" applyBorder="1" applyAlignment="1">
      <alignment horizontal="center" vertical="center"/>
    </xf>
    <xf numFmtId="2" fontId="0" fillId="0" borderId="13" xfId="0" applyNumberFormat="1" applyFill="1" applyBorder="1" applyAlignment="1">
      <alignment horizontal="center" vertical="center"/>
    </xf>
    <xf numFmtId="0" fontId="1" fillId="0" borderId="60" xfId="0" applyFont="1" applyFill="1" applyBorder="1" applyAlignment="1">
      <alignment horizontal="center" vertical="center" wrapText="1"/>
    </xf>
    <xf numFmtId="0" fontId="1" fillId="0" borderId="35"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9" xfId="0" applyBorder="1" applyAlignment="1">
      <alignment horizontal="center" vertical="center"/>
    </xf>
    <xf numFmtId="165" fontId="4" fillId="0" borderId="30" xfId="0" applyNumberFormat="1" applyFont="1" applyFill="1" applyBorder="1" applyAlignment="1">
      <alignment horizontal="center" vertical="center"/>
    </xf>
    <xf numFmtId="165" fontId="1" fillId="0" borderId="30" xfId="0" applyNumberFormat="1" applyFont="1" applyFill="1" applyBorder="1" applyAlignment="1">
      <alignment horizontal="center" vertical="center"/>
    </xf>
    <xf numFmtId="165" fontId="0" fillId="0" borderId="125" xfId="0" applyNumberFormat="1" applyBorder="1" applyAlignment="1">
      <alignment horizontal="center" vertical="center"/>
    </xf>
    <xf numFmtId="1" fontId="0" fillId="0" borderId="13" xfId="0" applyNumberFormat="1" applyFill="1" applyBorder="1" applyAlignment="1">
      <alignment horizontal="center" vertical="center"/>
    </xf>
    <xf numFmtId="1" fontId="0" fillId="0" borderId="11" xfId="0" applyNumberFormat="1" applyFill="1" applyBorder="1" applyAlignment="1">
      <alignment horizontal="center" vertical="center"/>
    </xf>
    <xf numFmtId="1" fontId="4" fillId="0" borderId="30" xfId="0" applyNumberFormat="1" applyFont="1" applyFill="1" applyBorder="1" applyAlignment="1">
      <alignment horizontal="center" vertical="center"/>
    </xf>
    <xf numFmtId="1" fontId="1" fillId="0" borderId="30" xfId="0" applyNumberFormat="1" applyFont="1" applyFill="1" applyBorder="1" applyAlignment="1">
      <alignment horizontal="center" vertical="center"/>
    </xf>
    <xf numFmtId="1" fontId="0" fillId="0" borderId="125" xfId="0" applyNumberFormat="1" applyBorder="1" applyAlignment="1">
      <alignment horizontal="center" vertical="center"/>
    </xf>
    <xf numFmtId="1" fontId="1" fillId="47" borderId="79" xfId="0" applyNumberFormat="1" applyFont="1" applyFill="1" applyBorder="1" applyAlignment="1">
      <alignment horizontal="center" vertical="center"/>
    </xf>
    <xf numFmtId="1" fontId="0" fillId="47" borderId="74" xfId="0" applyNumberFormat="1" applyFill="1" applyBorder="1" applyAlignment="1">
      <alignment horizontal="center" vertical="center"/>
    </xf>
    <xf numFmtId="1" fontId="0" fillId="47" borderId="84" xfId="0" applyNumberFormat="1" applyFill="1" applyBorder="1" applyAlignment="1">
      <alignment horizontal="center" vertical="center"/>
    </xf>
    <xf numFmtId="1" fontId="4" fillId="47" borderId="77" xfId="0" applyNumberFormat="1" applyFont="1" applyFill="1" applyBorder="1" applyAlignment="1">
      <alignment horizontal="center" vertical="center"/>
    </xf>
    <xf numFmtId="1" fontId="0" fillId="47" borderId="82" xfId="0" applyNumberFormat="1" applyFill="1" applyBorder="1" applyAlignment="1">
      <alignment horizontal="center" vertical="center"/>
    </xf>
    <xf numFmtId="1" fontId="1" fillId="47" borderId="77" xfId="0" applyNumberFormat="1" applyFont="1" applyFill="1" applyBorder="1" applyAlignment="1">
      <alignment horizontal="center" vertical="center"/>
    </xf>
    <xf numFmtId="1" fontId="0" fillId="47" borderId="122" xfId="0" applyNumberFormat="1" applyFill="1" applyBorder="1" applyAlignment="1">
      <alignment horizontal="center" vertical="center"/>
    </xf>
    <xf numFmtId="0" fontId="4" fillId="0" borderId="3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26" xfId="0" applyFont="1" applyFill="1" applyBorder="1" applyAlignment="1">
      <alignment horizontal="center" vertical="center" wrapText="1"/>
    </xf>
    <xf numFmtId="1" fontId="1" fillId="0" borderId="61" xfId="0" applyNumberFormat="1" applyFont="1" applyFill="1" applyBorder="1" applyAlignment="1">
      <alignment horizontal="center" vertical="center"/>
    </xf>
    <xf numFmtId="1" fontId="0" fillId="0" borderId="62" xfId="0" applyNumberFormat="1" applyFill="1" applyBorder="1" applyAlignment="1">
      <alignment horizontal="center" vertical="center"/>
    </xf>
    <xf numFmtId="1" fontId="0" fillId="0" borderId="75" xfId="0" applyNumberFormat="1" applyFill="1" applyBorder="1" applyAlignment="1">
      <alignment horizontal="center" vertical="center"/>
    </xf>
    <xf numFmtId="1" fontId="4" fillId="0" borderId="65" xfId="0" applyNumberFormat="1" applyFont="1" applyFill="1" applyBorder="1" applyAlignment="1">
      <alignment horizontal="center" vertical="center"/>
    </xf>
    <xf numFmtId="1" fontId="0" fillId="0" borderId="70" xfId="0" applyNumberFormat="1" applyFill="1" applyBorder="1" applyAlignment="1">
      <alignment horizontal="center" vertical="center"/>
    </xf>
    <xf numFmtId="1" fontId="1" fillId="0" borderId="65" xfId="0" applyNumberFormat="1" applyFont="1" applyFill="1" applyBorder="1" applyAlignment="1">
      <alignment horizontal="center" vertical="center"/>
    </xf>
    <xf numFmtId="1" fontId="0" fillId="0" borderId="109" xfId="0" applyNumberFormat="1" applyBorder="1" applyAlignment="1">
      <alignment horizontal="center" vertical="center"/>
    </xf>
    <xf numFmtId="0" fontId="1" fillId="47" borderId="77" xfId="0" applyFont="1" applyFill="1" applyBorder="1" applyAlignment="1">
      <alignment horizontal="center" vertical="center"/>
    </xf>
    <xf numFmtId="0" fontId="4" fillId="47" borderId="85"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0" fillId="0" borderId="0" xfId="0" applyBorder="1"/>
    <xf numFmtId="0" fontId="0" fillId="0" borderId="0" xfId="0" applyBorder="1" applyAlignment="1"/>
    <xf numFmtId="0" fontId="0" fillId="0" borderId="0" xfId="0" applyBorder="1" applyAlignment="1">
      <alignment horizontal="center"/>
    </xf>
    <xf numFmtId="0" fontId="38" fillId="0" borderId="0" xfId="0" applyFont="1" applyBorder="1" applyAlignment="1">
      <alignment horizontal="left"/>
    </xf>
    <xf numFmtId="0" fontId="29" fillId="0" borderId="0" xfId="0" applyFont="1" applyBorder="1" applyAlignment="1">
      <alignment horizontal="center"/>
    </xf>
    <xf numFmtId="0" fontId="43" fillId="0" borderId="0" xfId="0" applyFont="1" applyBorder="1" applyAlignment="1">
      <alignment horizontal="center"/>
    </xf>
    <xf numFmtId="0" fontId="1" fillId="0" borderId="44" xfId="0" applyFont="1" applyBorder="1" applyAlignment="1">
      <alignment horizontal="center"/>
    </xf>
    <xf numFmtId="0" fontId="1" fillId="0" borderId="19" xfId="0" applyFont="1" applyBorder="1" applyAlignment="1">
      <alignment horizontal="center"/>
    </xf>
    <xf numFmtId="0" fontId="0" fillId="0" borderId="50" xfId="0" applyFont="1" applyBorder="1" applyAlignment="1">
      <alignment horizontal="center"/>
    </xf>
    <xf numFmtId="0" fontId="0" fillId="0" borderId="1" xfId="0" applyFont="1" applyBorder="1" applyAlignment="1">
      <alignment horizontal="center"/>
    </xf>
    <xf numFmtId="14" fontId="0" fillId="0" borderId="0" xfId="0" applyNumberFormat="1" applyBorder="1"/>
    <xf numFmtId="0" fontId="1" fillId="0" borderId="0" xfId="0" applyFont="1" applyBorder="1" applyAlignment="1">
      <alignment horizontal="center"/>
    </xf>
    <xf numFmtId="14" fontId="0" fillId="0" borderId="0" xfId="0" applyNumberFormat="1" applyBorder="1" applyAlignment="1">
      <alignment horizontal="center"/>
    </xf>
    <xf numFmtId="0" fontId="0" fillId="0" borderId="45" xfId="0" applyFont="1" applyBorder="1" applyAlignment="1">
      <alignment horizontal="center"/>
    </xf>
    <xf numFmtId="0" fontId="0" fillId="0" borderId="23" xfId="0" applyFont="1" applyBorder="1" applyAlignment="1">
      <alignment horizontal="center"/>
    </xf>
    <xf numFmtId="0" fontId="44" fillId="0" borderId="0" xfId="0" applyFont="1" applyAlignment="1">
      <alignment vertical="center"/>
    </xf>
    <xf numFmtId="0" fontId="1" fillId="0" borderId="0" xfId="0" applyFont="1"/>
    <xf numFmtId="0" fontId="1" fillId="7" borderId="37" xfId="0" applyFont="1" applyFill="1" applyBorder="1" applyAlignment="1">
      <alignment horizontal="center" vertical="center" wrapText="1"/>
    </xf>
    <xf numFmtId="0" fontId="2" fillId="14" borderId="2" xfId="0" applyFont="1" applyFill="1" applyBorder="1" applyAlignment="1">
      <alignment horizontal="center" vertical="center"/>
    </xf>
    <xf numFmtId="0" fontId="0" fillId="0" borderId="1" xfId="0" applyFont="1" applyBorder="1" applyAlignment="1">
      <alignment horizontal="center" vertical="center" wrapText="1"/>
    </xf>
    <xf numFmtId="0" fontId="2" fillId="0" borderId="25" xfId="0" applyFont="1" applyFill="1" applyBorder="1" applyAlignment="1">
      <alignment horizontal="center" vertical="center" wrapText="1"/>
    </xf>
    <xf numFmtId="0" fontId="0" fillId="55" borderId="51" xfId="0" applyFill="1" applyBorder="1" applyAlignment="1">
      <alignment horizontal="center" vertical="center"/>
    </xf>
    <xf numFmtId="0" fontId="0" fillId="55" borderId="3" xfId="0" applyFill="1" applyBorder="1" applyAlignment="1">
      <alignment horizontal="center" vertical="center"/>
    </xf>
    <xf numFmtId="0" fontId="0" fillId="55" borderId="50" xfId="0" applyFill="1" applyBorder="1" applyAlignment="1">
      <alignment horizontal="center" vertical="center"/>
    </xf>
    <xf numFmtId="0" fontId="0" fillId="55" borderId="1" xfId="0" applyFill="1" applyBorder="1" applyAlignment="1">
      <alignment horizontal="center" vertical="center"/>
    </xf>
    <xf numFmtId="0" fontId="0" fillId="55" borderId="68" xfId="0" applyFill="1" applyBorder="1" applyAlignment="1">
      <alignment horizontal="center" vertical="center"/>
    </xf>
    <xf numFmtId="0" fontId="0" fillId="55" borderId="2" xfId="0" applyFill="1" applyBorder="1" applyAlignment="1">
      <alignment horizontal="center" vertical="center"/>
    </xf>
    <xf numFmtId="0" fontId="0" fillId="55" borderId="44" xfId="0" applyFill="1" applyBorder="1" applyAlignment="1">
      <alignment horizontal="center" vertical="center"/>
    </xf>
    <xf numFmtId="0" fontId="0" fillId="55" borderId="19" xfId="0" applyFill="1" applyBorder="1" applyAlignment="1">
      <alignment horizontal="center" vertical="center"/>
    </xf>
    <xf numFmtId="0" fontId="0" fillId="55" borderId="45" xfId="0" applyFill="1" applyBorder="1" applyAlignment="1">
      <alignment horizontal="center" vertical="center"/>
    </xf>
    <xf numFmtId="0" fontId="0" fillId="55" borderId="23" xfId="0" applyFill="1" applyBorder="1" applyAlignment="1">
      <alignment horizontal="center" vertical="center"/>
    </xf>
    <xf numFmtId="0" fontId="2" fillId="55" borderId="45" xfId="0" applyFont="1" applyFill="1" applyBorder="1" applyAlignment="1">
      <alignment horizontal="center" vertical="center"/>
    </xf>
    <xf numFmtId="0" fontId="2" fillId="55" borderId="23" xfId="0" applyFont="1" applyFill="1" applyBorder="1" applyAlignment="1">
      <alignment horizontal="center" vertical="center"/>
    </xf>
    <xf numFmtId="1" fontId="0" fillId="55" borderId="19" xfId="0" applyNumberFormat="1" applyFill="1" applyBorder="1" applyAlignment="1">
      <alignment horizontal="center" vertical="center"/>
    </xf>
    <xf numFmtId="0" fontId="2" fillId="55" borderId="1" xfId="0" applyFont="1" applyFill="1" applyBorder="1" applyAlignment="1">
      <alignment horizontal="center" vertical="center"/>
    </xf>
    <xf numFmtId="0" fontId="0" fillId="55" borderId="44" xfId="0" applyFont="1" applyFill="1" applyBorder="1" applyAlignment="1">
      <alignment horizontal="center" vertical="center"/>
    </xf>
    <xf numFmtId="0" fontId="0" fillId="55" borderId="19" xfId="0" applyFont="1" applyFill="1" applyBorder="1" applyAlignment="1">
      <alignment horizontal="center" vertical="center"/>
    </xf>
    <xf numFmtId="0" fontId="0" fillId="55" borderId="50" xfId="0" applyFont="1" applyFill="1" applyBorder="1" applyAlignment="1">
      <alignment horizontal="center" vertical="center"/>
    </xf>
    <xf numFmtId="0" fontId="0" fillId="55" borderId="1" xfId="0" applyFont="1" applyFill="1" applyBorder="1" applyAlignment="1">
      <alignment horizontal="center" vertical="center"/>
    </xf>
    <xf numFmtId="0" fontId="0" fillId="55" borderId="51" xfId="0" applyFont="1" applyFill="1" applyBorder="1" applyAlignment="1">
      <alignment horizontal="center" vertical="center"/>
    </xf>
    <xf numFmtId="0" fontId="0" fillId="55" borderId="3" xfId="0" applyFont="1" applyFill="1" applyBorder="1" applyAlignment="1">
      <alignment horizontal="center" vertical="center"/>
    </xf>
    <xf numFmtId="0" fontId="0" fillId="55" borderId="45" xfId="0" applyFont="1" applyFill="1" applyBorder="1" applyAlignment="1">
      <alignment horizontal="center" vertical="center"/>
    </xf>
    <xf numFmtId="0" fontId="0" fillId="55" borderId="23" xfId="0" applyFont="1" applyFill="1" applyBorder="1" applyAlignment="1">
      <alignment horizontal="center" vertical="center"/>
    </xf>
    <xf numFmtId="0" fontId="0" fillId="55" borderId="31" xfId="0" applyFill="1" applyBorder="1" applyAlignment="1">
      <alignment horizontal="center" vertical="center"/>
    </xf>
    <xf numFmtId="0" fontId="0" fillId="55" borderId="8" xfId="0" applyFill="1" applyBorder="1" applyAlignment="1">
      <alignment horizontal="center" vertical="center"/>
    </xf>
    <xf numFmtId="0" fontId="0" fillId="55" borderId="7" xfId="0" applyFill="1" applyBorder="1" applyAlignment="1">
      <alignment horizontal="center" vertical="center"/>
    </xf>
    <xf numFmtId="0" fontId="0" fillId="55" borderId="15" xfId="0" applyFill="1" applyBorder="1" applyAlignment="1">
      <alignment horizontal="center" vertical="center"/>
    </xf>
    <xf numFmtId="0" fontId="0" fillId="55" borderId="10" xfId="0" applyFill="1" applyBorder="1" applyAlignment="1">
      <alignment horizontal="center" vertical="center"/>
    </xf>
    <xf numFmtId="0" fontId="0" fillId="55" borderId="78" xfId="0" applyFill="1" applyBorder="1" applyAlignment="1">
      <alignment horizontal="center" vertical="center"/>
    </xf>
    <xf numFmtId="0" fontId="0" fillId="55" borderId="55" xfId="0" applyFill="1" applyBorder="1" applyAlignment="1">
      <alignment horizontal="center" vertical="center"/>
    </xf>
    <xf numFmtId="0" fontId="0" fillId="55" borderId="120" xfId="0" applyFill="1" applyBorder="1" applyAlignment="1">
      <alignment horizontal="center" vertical="center"/>
    </xf>
    <xf numFmtId="0" fontId="2" fillId="55" borderId="6" xfId="0" applyFont="1" applyFill="1" applyBorder="1" applyAlignment="1">
      <alignment horizontal="center" vertical="center"/>
    </xf>
    <xf numFmtId="0" fontId="2" fillId="55" borderId="27" xfId="0" applyFont="1" applyFill="1" applyBorder="1" applyAlignment="1">
      <alignment horizontal="center" vertical="center"/>
    </xf>
    <xf numFmtId="0" fontId="2" fillId="55" borderId="28" xfId="0" applyFont="1" applyFill="1" applyBorder="1" applyAlignment="1">
      <alignment horizontal="center" vertical="center"/>
    </xf>
    <xf numFmtId="165" fontId="0" fillId="55" borderId="3" xfId="0" applyNumberFormat="1" applyFont="1" applyFill="1" applyBorder="1" applyAlignment="1">
      <alignment horizontal="center" vertical="center"/>
    </xf>
    <xf numFmtId="165" fontId="0" fillId="55" borderId="22" xfId="0" applyNumberFormat="1" applyFont="1" applyFill="1" applyBorder="1" applyAlignment="1">
      <alignment horizontal="center" vertical="center"/>
    </xf>
    <xf numFmtId="165" fontId="0" fillId="55" borderId="23" xfId="0" applyNumberFormat="1" applyFont="1" applyFill="1" applyBorder="1" applyAlignment="1">
      <alignment horizontal="center" vertical="center"/>
    </xf>
    <xf numFmtId="0" fontId="0" fillId="55" borderId="61" xfId="0" applyFill="1" applyBorder="1" applyAlignment="1">
      <alignment horizontal="center" vertical="center"/>
    </xf>
    <xf numFmtId="0" fontId="0" fillId="55" borderId="62" xfId="0" applyFill="1" applyBorder="1" applyAlignment="1">
      <alignment horizontal="center" vertical="center"/>
    </xf>
    <xf numFmtId="0" fontId="0" fillId="55" borderId="75" xfId="0" applyFill="1" applyBorder="1" applyAlignment="1">
      <alignment horizontal="center" vertical="center"/>
    </xf>
    <xf numFmtId="0" fontId="0" fillId="55" borderId="65" xfId="0" applyFill="1" applyBorder="1" applyAlignment="1">
      <alignment horizontal="center" vertical="center"/>
    </xf>
    <xf numFmtId="0" fontId="0" fillId="55" borderId="70" xfId="0" applyFill="1" applyBorder="1" applyAlignment="1">
      <alignment horizontal="center" vertical="center"/>
    </xf>
    <xf numFmtId="0" fontId="2" fillId="55" borderId="70" xfId="0" applyFont="1" applyFill="1" applyBorder="1" applyAlignment="1">
      <alignment horizontal="center" vertical="center"/>
    </xf>
    <xf numFmtId="0" fontId="0" fillId="55" borderId="109" xfId="0" applyFill="1" applyBorder="1" applyAlignment="1">
      <alignment horizontal="center" vertical="center"/>
    </xf>
    <xf numFmtId="0" fontId="1" fillId="0" borderId="78" xfId="0" applyFont="1" applyFill="1" applyBorder="1" applyAlignment="1">
      <alignment horizontal="center" vertical="center"/>
    </xf>
    <xf numFmtId="1" fontId="1" fillId="55" borderId="7" xfId="0" applyNumberFormat="1" applyFont="1" applyFill="1" applyBorder="1" applyAlignment="1">
      <alignment horizontal="center" vertical="center"/>
    </xf>
    <xf numFmtId="1" fontId="1" fillId="55" borderId="83" xfId="0" applyNumberFormat="1" applyFont="1" applyFill="1" applyBorder="1" applyAlignment="1">
      <alignment horizontal="center" vertical="center"/>
    </xf>
    <xf numFmtId="1" fontId="1" fillId="55" borderId="55" xfId="0" applyNumberFormat="1" applyFont="1" applyFill="1" applyBorder="1" applyAlignment="1">
      <alignment horizontal="center" vertical="center"/>
    </xf>
    <xf numFmtId="165" fontId="1" fillId="55" borderId="35" xfId="0" applyNumberFormat="1" applyFont="1" applyFill="1" applyBorder="1" applyAlignment="1">
      <alignment horizontal="center" vertical="center"/>
    </xf>
    <xf numFmtId="165" fontId="1" fillId="55" borderId="41" xfId="0" applyNumberFormat="1" applyFont="1" applyFill="1" applyBorder="1" applyAlignment="1">
      <alignment horizontal="center" vertical="center"/>
    </xf>
    <xf numFmtId="165" fontId="1" fillId="55" borderId="38"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0" fillId="0" borderId="55" xfId="0" applyFont="1" applyFill="1" applyBorder="1" applyAlignment="1">
      <alignment horizontal="center" vertical="center"/>
    </xf>
    <xf numFmtId="2" fontId="0" fillId="0" borderId="50" xfId="0" applyNumberFormat="1" applyFont="1" applyFill="1" applyBorder="1" applyAlignment="1">
      <alignment horizontal="center" vertical="center" wrapText="1"/>
    </xf>
    <xf numFmtId="2" fontId="0" fillId="0" borderId="36" xfId="0" applyNumberFormat="1" applyFont="1" applyFill="1" applyBorder="1" applyAlignment="1">
      <alignment horizontal="center" vertical="center" wrapText="1"/>
    </xf>
    <xf numFmtId="2" fontId="0" fillId="0" borderId="45" xfId="0" applyNumberFormat="1" applyFont="1" applyFill="1" applyBorder="1" applyAlignment="1">
      <alignment horizontal="center" vertical="center" wrapText="1"/>
    </xf>
    <xf numFmtId="2" fontId="0" fillId="0" borderId="38" xfId="0" applyNumberFormat="1" applyFont="1" applyFill="1" applyBorder="1" applyAlignment="1">
      <alignment horizontal="center" vertical="center" wrapText="1"/>
    </xf>
    <xf numFmtId="165" fontId="25" fillId="6" borderId="1" xfId="0" applyNumberFormat="1" applyFont="1" applyFill="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0" borderId="51" xfId="0" applyFont="1" applyBorder="1" applyAlignment="1">
      <alignment horizontal="center" vertical="center"/>
    </xf>
    <xf numFmtId="0" fontId="0" fillId="0" borderId="50" xfId="0" applyFont="1" applyBorder="1" applyAlignment="1">
      <alignment horizontal="center" vertical="center"/>
    </xf>
    <xf numFmtId="0" fontId="0" fillId="0" borderId="45" xfId="0" applyFont="1" applyBorder="1" applyAlignment="1">
      <alignment horizontal="center" vertical="center"/>
    </xf>
    <xf numFmtId="0" fontId="0" fillId="50" borderId="51" xfId="0" applyFont="1" applyFill="1" applyBorder="1" applyAlignment="1">
      <alignment vertical="center" wrapText="1"/>
    </xf>
    <xf numFmtId="0" fontId="0" fillId="50" borderId="35" xfId="0" applyFont="1" applyFill="1" applyBorder="1" applyAlignment="1">
      <alignment vertical="center"/>
    </xf>
    <xf numFmtId="0" fontId="0" fillId="50" borderId="50" xfId="0" applyFont="1" applyFill="1" applyBorder="1" applyAlignment="1">
      <alignment vertical="center" wrapText="1"/>
    </xf>
    <xf numFmtId="0" fontId="0" fillId="50" borderId="36" xfId="0" applyFont="1" applyFill="1" applyBorder="1" applyAlignment="1">
      <alignment vertical="center"/>
    </xf>
    <xf numFmtId="0" fontId="0" fillId="50" borderId="45" xfId="0" applyFont="1" applyFill="1" applyBorder="1" applyAlignment="1">
      <alignment vertical="center" wrapText="1"/>
    </xf>
    <xf numFmtId="0" fontId="0" fillId="50" borderId="38" xfId="0" applyFont="1" applyFill="1" applyBorder="1" applyAlignment="1">
      <alignment vertical="center"/>
    </xf>
    <xf numFmtId="0" fontId="0" fillId="0" borderId="15" xfId="0" applyFont="1" applyBorder="1" applyAlignment="1">
      <alignment vertical="center"/>
    </xf>
    <xf numFmtId="0" fontId="0" fillId="0" borderId="7" xfId="0" applyFont="1" applyFill="1" applyBorder="1" applyAlignment="1">
      <alignment horizontal="center" vertical="center"/>
    </xf>
    <xf numFmtId="0" fontId="0" fillId="5" borderId="50" xfId="0" applyFont="1" applyFill="1" applyBorder="1" applyAlignment="1">
      <alignment vertical="center"/>
    </xf>
    <xf numFmtId="0" fontId="0" fillId="0" borderId="36" xfId="0" applyFont="1" applyBorder="1" applyAlignment="1">
      <alignment vertical="center"/>
    </xf>
    <xf numFmtId="0" fontId="0" fillId="0" borderId="51" xfId="0" applyFont="1" applyBorder="1" applyAlignment="1">
      <alignment horizontal="center" vertical="center" wrapText="1"/>
    </xf>
    <xf numFmtId="0" fontId="0" fillId="0" borderId="35" xfId="0" applyFont="1" applyBorder="1" applyAlignment="1">
      <alignment vertical="center"/>
    </xf>
    <xf numFmtId="0" fontId="0" fillId="0" borderId="50"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38" xfId="0" applyFont="1" applyBorder="1" applyAlignment="1">
      <alignment vertical="center"/>
    </xf>
    <xf numFmtId="0" fontId="0" fillId="0" borderId="35" xfId="0" applyFont="1" applyFill="1" applyBorder="1" applyAlignment="1">
      <alignment vertical="center"/>
    </xf>
    <xf numFmtId="165" fontId="0" fillId="0" borderId="51" xfId="0" applyNumberFormat="1" applyFont="1" applyFill="1" applyBorder="1" applyAlignment="1">
      <alignment horizontal="center" vertical="center"/>
    </xf>
    <xf numFmtId="165" fontId="2" fillId="0" borderId="51" xfId="0" applyNumberFormat="1" applyFont="1" applyFill="1" applyBorder="1" applyAlignment="1">
      <alignment horizontal="center" vertical="center"/>
    </xf>
    <xf numFmtId="165" fontId="2" fillId="0" borderId="3" xfId="0" applyNumberFormat="1" applyFont="1" applyFill="1" applyBorder="1" applyAlignment="1">
      <alignment horizontal="center" vertical="center"/>
    </xf>
    <xf numFmtId="165" fontId="2" fillId="0" borderId="45" xfId="0" applyNumberFormat="1" applyFont="1" applyFill="1" applyBorder="1" applyAlignment="1">
      <alignment horizontal="center" vertical="center"/>
    </xf>
    <xf numFmtId="165" fontId="2" fillId="0" borderId="23"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0" fontId="4" fillId="55" borderId="39" xfId="0" applyFont="1" applyFill="1" applyBorder="1" applyAlignment="1">
      <alignment horizontal="center" vertical="center" wrapText="1"/>
    </xf>
    <xf numFmtId="165" fontId="0" fillId="0" borderId="6"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165" fontId="2" fillId="0" borderId="28"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0" fontId="4" fillId="55" borderId="67" xfId="0" applyFont="1" applyFill="1" applyBorder="1" applyAlignment="1">
      <alignment horizontal="center" vertical="center" wrapText="1"/>
    </xf>
    <xf numFmtId="165" fontId="0" fillId="58" borderId="3" xfId="0" applyNumberFormat="1" applyFont="1" applyFill="1" applyBorder="1" applyAlignment="1">
      <alignment horizontal="center" vertical="center"/>
    </xf>
    <xf numFmtId="165" fontId="0" fillId="58" borderId="23" xfId="0" applyNumberFormat="1" applyFont="1" applyFill="1" applyBorder="1" applyAlignment="1">
      <alignment horizontal="center" vertical="center"/>
    </xf>
    <xf numFmtId="165" fontId="0" fillId="58" borderId="1" xfId="0" applyNumberFormat="1" applyFont="1" applyFill="1" applyBorder="1" applyAlignment="1">
      <alignment horizontal="center" vertical="center"/>
    </xf>
    <xf numFmtId="165" fontId="2" fillId="58" borderId="23" xfId="0" applyNumberFormat="1" applyFont="1" applyFill="1" applyBorder="1" applyAlignment="1">
      <alignment horizontal="center" vertical="center"/>
    </xf>
    <xf numFmtId="2" fontId="0" fillId="0" borderId="51" xfId="0" applyNumberFormat="1" applyFont="1" applyFill="1" applyBorder="1" applyAlignment="1">
      <alignment horizontal="center" vertical="center" wrapText="1"/>
    </xf>
    <xf numFmtId="2" fontId="0" fillId="0" borderId="3" xfId="0" applyNumberFormat="1" applyFont="1" applyFill="1" applyBorder="1" applyAlignment="1">
      <alignment horizontal="center" vertical="center" wrapText="1"/>
    </xf>
    <xf numFmtId="2" fontId="0" fillId="0" borderId="35" xfId="0" applyNumberFormat="1" applyFont="1" applyFill="1" applyBorder="1" applyAlignment="1">
      <alignment horizontal="center" vertical="center" wrapText="1"/>
    </xf>
    <xf numFmtId="165" fontId="0" fillId="5" borderId="51" xfId="0" applyNumberFormat="1" applyFont="1" applyFill="1" applyBorder="1" applyAlignment="1">
      <alignment horizontal="center" vertical="center" wrapText="1"/>
    </xf>
    <xf numFmtId="165" fontId="0" fillId="5" borderId="3" xfId="0" applyNumberFormat="1" applyFont="1" applyFill="1" applyBorder="1" applyAlignment="1">
      <alignment horizontal="center" vertical="center" wrapText="1"/>
    </xf>
    <xf numFmtId="165" fontId="0" fillId="5" borderId="35" xfId="0" applyNumberFormat="1" applyFont="1" applyFill="1" applyBorder="1" applyAlignment="1">
      <alignment horizontal="center" vertical="center" wrapText="1"/>
    </xf>
    <xf numFmtId="165" fontId="0" fillId="5" borderId="50" xfId="0" applyNumberFormat="1" applyFont="1" applyFill="1" applyBorder="1" applyAlignment="1">
      <alignment horizontal="center" vertical="center" wrapText="1"/>
    </xf>
    <xf numFmtId="165" fontId="0" fillId="5" borderId="1" xfId="0" applyNumberFormat="1" applyFont="1" applyFill="1" applyBorder="1" applyAlignment="1">
      <alignment horizontal="center" vertical="center" wrapText="1"/>
    </xf>
    <xf numFmtId="165" fontId="0" fillId="5" borderId="36" xfId="0" applyNumberFormat="1" applyFont="1" applyFill="1" applyBorder="1" applyAlignment="1">
      <alignment horizontal="center" vertical="center" wrapText="1"/>
    </xf>
    <xf numFmtId="165" fontId="0" fillId="5" borderId="45" xfId="0" applyNumberFormat="1" applyFont="1" applyFill="1" applyBorder="1" applyAlignment="1">
      <alignment horizontal="center" vertical="center" wrapText="1"/>
    </xf>
    <xf numFmtId="165" fontId="0" fillId="5" borderId="23" xfId="0" applyNumberFormat="1" applyFont="1" applyFill="1" applyBorder="1" applyAlignment="1">
      <alignment horizontal="center" vertical="center" wrapText="1"/>
    </xf>
    <xf numFmtId="165" fontId="0" fillId="5" borderId="38" xfId="0" applyNumberFormat="1" applyFont="1" applyFill="1" applyBorder="1" applyAlignment="1">
      <alignment horizontal="center" vertical="center" wrapText="1"/>
    </xf>
    <xf numFmtId="9" fontId="0" fillId="0" borderId="8" xfId="80" applyFont="1" applyBorder="1" applyAlignment="1">
      <alignment horizontal="center"/>
    </xf>
    <xf numFmtId="0" fontId="1" fillId="55" borderId="44" xfId="0" applyFont="1" applyFill="1" applyBorder="1" applyAlignment="1">
      <alignment horizontal="center" vertical="center"/>
    </xf>
    <xf numFmtId="0" fontId="1" fillId="55" borderId="19" xfId="0" applyFont="1" applyFill="1" applyBorder="1" applyAlignment="1">
      <alignment horizontal="center" vertical="center"/>
    </xf>
    <xf numFmtId="0" fontId="1" fillId="55" borderId="33" xfId="0" applyFont="1" applyFill="1" applyBorder="1" applyAlignment="1">
      <alignment horizontal="center" vertical="center"/>
    </xf>
    <xf numFmtId="165" fontId="32" fillId="55" borderId="51" xfId="55" applyNumberFormat="1" applyFill="1" applyBorder="1" applyAlignment="1">
      <alignment horizontal="center" vertical="center" wrapText="1"/>
    </xf>
    <xf numFmtId="165" fontId="0" fillId="55" borderId="3" xfId="0" applyNumberFormat="1" applyFont="1" applyFill="1" applyBorder="1" applyAlignment="1">
      <alignment horizontal="center" vertical="center" wrapText="1"/>
    </xf>
    <xf numFmtId="165" fontId="0" fillId="55" borderId="35" xfId="0" applyNumberFormat="1" applyFont="1" applyFill="1" applyBorder="1" applyAlignment="1">
      <alignment horizontal="center" vertical="center" wrapText="1"/>
    </xf>
    <xf numFmtId="165" fontId="0" fillId="55" borderId="50" xfId="0" applyNumberFormat="1" applyFont="1" applyFill="1" applyBorder="1" applyAlignment="1">
      <alignment horizontal="center" vertical="center" wrapText="1"/>
    </xf>
    <xf numFmtId="165" fontId="0" fillId="55" borderId="1" xfId="0" applyNumberFormat="1" applyFont="1" applyFill="1" applyBorder="1" applyAlignment="1">
      <alignment horizontal="center" vertical="center" wrapText="1"/>
    </xf>
    <xf numFmtId="165" fontId="0" fillId="55" borderId="36" xfId="0" applyNumberFormat="1" applyFont="1" applyFill="1" applyBorder="1" applyAlignment="1">
      <alignment horizontal="center" vertical="center" wrapText="1"/>
    </xf>
    <xf numFmtId="165" fontId="0" fillId="55" borderId="45" xfId="0" applyNumberFormat="1" applyFont="1" applyFill="1" applyBorder="1" applyAlignment="1">
      <alignment horizontal="center" vertical="center" wrapText="1"/>
    </xf>
    <xf numFmtId="165" fontId="0" fillId="55" borderId="23" xfId="0" applyNumberFormat="1" applyFont="1" applyFill="1" applyBorder="1" applyAlignment="1">
      <alignment horizontal="center" vertical="center" wrapText="1"/>
    </xf>
    <xf numFmtId="165" fontId="0" fillId="55" borderId="38" xfId="0" applyNumberFormat="1" applyFont="1" applyFill="1" applyBorder="1" applyAlignment="1">
      <alignment horizontal="center" vertical="center" wrapText="1"/>
    </xf>
    <xf numFmtId="165" fontId="0" fillId="55" borderId="51" xfId="0" applyNumberFormat="1" applyFont="1" applyFill="1" applyBorder="1" applyAlignment="1">
      <alignment horizontal="center" vertical="center" wrapText="1"/>
    </xf>
    <xf numFmtId="9" fontId="0" fillId="0" borderId="22" xfId="80" applyFont="1" applyBorder="1" applyAlignment="1">
      <alignment horizontal="center"/>
    </xf>
    <xf numFmtId="9" fontId="32" fillId="0" borderId="25" xfId="55" applyNumberFormat="1" applyFill="1" applyBorder="1" applyAlignment="1">
      <alignment horizontal="center" vertical="center"/>
    </xf>
    <xf numFmtId="0" fontId="4" fillId="0" borderId="67" xfId="0" applyFont="1" applyFill="1" applyBorder="1" applyAlignment="1">
      <alignment horizontal="center" vertical="center" wrapText="1"/>
    </xf>
    <xf numFmtId="1" fontId="1" fillId="0" borderId="7" xfId="0" applyNumberFormat="1" applyFont="1" applyFill="1" applyBorder="1" applyAlignment="1">
      <alignment horizontal="center" vertical="center"/>
    </xf>
    <xf numFmtId="1" fontId="1" fillId="0" borderId="83" xfId="0" applyNumberFormat="1" applyFont="1" applyFill="1" applyBorder="1" applyAlignment="1">
      <alignment horizontal="center" vertical="center"/>
    </xf>
    <xf numFmtId="1" fontId="1" fillId="0" borderId="55" xfId="0" applyNumberFormat="1" applyFont="1" applyFill="1" applyBorder="1" applyAlignment="1">
      <alignment horizontal="center" vertical="center"/>
    </xf>
    <xf numFmtId="0" fontId="1" fillId="0" borderId="21" xfId="0" applyFont="1" applyBorder="1" applyAlignment="1">
      <alignment vertical="center" wrapText="1"/>
    </xf>
    <xf numFmtId="0" fontId="1" fillId="0" borderId="20" xfId="0" applyFont="1" applyBorder="1" applyAlignment="1">
      <alignment vertical="center" wrapText="1"/>
    </xf>
    <xf numFmtId="0" fontId="1" fillId="0" borderId="26" xfId="0" applyFont="1" applyBorder="1" applyAlignment="1">
      <alignment vertical="center" wrapText="1"/>
    </xf>
    <xf numFmtId="0" fontId="4" fillId="0" borderId="58" xfId="0" applyFont="1" applyFill="1" applyBorder="1" applyAlignment="1">
      <alignment horizontal="center" vertical="center" wrapText="1"/>
    </xf>
    <xf numFmtId="0" fontId="4" fillId="55" borderId="20" xfId="0" applyFont="1" applyFill="1" applyBorder="1" applyAlignment="1">
      <alignment horizontal="center" vertical="center" wrapText="1"/>
    </xf>
    <xf numFmtId="0" fontId="1" fillId="55" borderId="60" xfId="0" applyFont="1" applyFill="1" applyBorder="1" applyAlignment="1">
      <alignment horizontal="center" vertical="center" wrapText="1"/>
    </xf>
    <xf numFmtId="0" fontId="1" fillId="55" borderId="21" xfId="0" applyFont="1" applyFill="1" applyBorder="1" applyAlignment="1">
      <alignment horizontal="center" vertical="center" wrapText="1"/>
    </xf>
    <xf numFmtId="0" fontId="1" fillId="55" borderId="113"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7" xfId="0" applyFont="1" applyBorder="1" applyAlignment="1">
      <alignment vertical="center"/>
    </xf>
    <xf numFmtId="0" fontId="1" fillId="0" borderId="67"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0" fillId="0" borderId="0" xfId="0" applyFont="1" applyAlignment="1">
      <alignment horizontal="center" vertical="center"/>
    </xf>
    <xf numFmtId="1" fontId="0" fillId="0" borderId="3" xfId="0" applyNumberFormat="1" applyFont="1" applyFill="1" applyBorder="1" applyAlignment="1">
      <alignment horizontal="center" vertical="center"/>
    </xf>
    <xf numFmtId="0" fontId="2" fillId="9" borderId="13" xfId="0" applyNumberFormat="1" applyFont="1" applyFill="1" applyBorder="1" applyAlignment="1">
      <alignment vertical="center" wrapText="1"/>
    </xf>
    <xf numFmtId="1" fontId="2" fillId="0" borderId="60" xfId="0" applyNumberFormat="1" applyFont="1" applyFill="1" applyBorder="1" applyAlignment="1">
      <alignment horizontal="center" vertical="center" wrapText="1"/>
    </xf>
    <xf numFmtId="1" fontId="2" fillId="0" borderId="20" xfId="0" applyNumberFormat="1" applyFont="1" applyFill="1" applyBorder="1" applyAlignment="1">
      <alignment horizontal="center" vertical="center" wrapText="1"/>
    </xf>
    <xf numFmtId="1" fontId="2" fillId="0" borderId="91" xfId="0" applyNumberFormat="1" applyFont="1" applyFill="1" applyBorder="1" applyAlignment="1">
      <alignment horizontal="center" vertical="center" wrapText="1"/>
    </xf>
    <xf numFmtId="1" fontId="2" fillId="0" borderId="39" xfId="0" applyNumberFormat="1" applyFont="1" applyFill="1" applyBorder="1" applyAlignment="1">
      <alignment horizontal="center" vertical="center" wrapText="1"/>
    </xf>
    <xf numFmtId="0" fontId="0" fillId="0" borderId="1" xfId="0" applyBorder="1" applyAlignment="1">
      <alignment horizontal="center"/>
    </xf>
    <xf numFmtId="0" fontId="0" fillId="0" borderId="23" xfId="0" applyBorder="1" applyAlignment="1">
      <alignment horizontal="center"/>
    </xf>
    <xf numFmtId="0" fontId="0" fillId="0" borderId="23" xfId="0" applyBorder="1"/>
    <xf numFmtId="0" fontId="0" fillId="0" borderId="38" xfId="0" applyBorder="1"/>
    <xf numFmtId="0" fontId="4" fillId="48" borderId="1" xfId="0" applyFont="1" applyFill="1" applyBorder="1" applyAlignment="1">
      <alignment vertical="center" wrapText="1"/>
    </xf>
    <xf numFmtId="0" fontId="0" fillId="0" borderId="1" xfId="0" applyBorder="1"/>
    <xf numFmtId="0" fontId="0" fillId="5" borderId="1" xfId="0" applyFill="1" applyBorder="1" applyAlignment="1">
      <alignment vertical="center"/>
    </xf>
    <xf numFmtId="0" fontId="0" fillId="5" borderId="0" xfId="0" applyFill="1" applyAlignment="1">
      <alignment horizontal="center" vertical="center"/>
    </xf>
    <xf numFmtId="0" fontId="0" fillId="0" borderId="44" xfId="0"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2" fontId="0" fillId="0" borderId="1" xfId="0" applyNumberFormat="1" applyBorder="1" applyAlignment="1">
      <alignment horizontal="center" vertical="center"/>
    </xf>
    <xf numFmtId="2" fontId="0" fillId="0" borderId="44" xfId="0" applyNumberFormat="1" applyBorder="1" applyAlignment="1">
      <alignment horizontal="center" vertical="center"/>
    </xf>
    <xf numFmtId="2" fontId="0" fillId="0" borderId="19" xfId="0" applyNumberFormat="1" applyBorder="1" applyAlignment="1">
      <alignment horizontal="center" vertical="center"/>
    </xf>
    <xf numFmtId="0" fontId="0" fillId="0" borderId="50" xfId="0" applyBorder="1" applyAlignment="1">
      <alignment horizontal="center"/>
    </xf>
    <xf numFmtId="0" fontId="0" fillId="0" borderId="45" xfId="0" applyBorder="1" applyAlignment="1">
      <alignment horizontal="center"/>
    </xf>
    <xf numFmtId="2" fontId="0" fillId="0" borderId="30" xfId="0" applyNumberFormat="1" applyBorder="1" applyAlignment="1">
      <alignment horizontal="center" vertical="center"/>
    </xf>
    <xf numFmtId="0" fontId="0" fillId="0" borderId="13" xfId="0" applyBorder="1" applyAlignment="1">
      <alignment horizontal="center"/>
    </xf>
    <xf numFmtId="0" fontId="0" fillId="0" borderId="28" xfId="0" applyBorder="1" applyAlignment="1">
      <alignment horizontal="center"/>
    </xf>
    <xf numFmtId="0" fontId="0" fillId="0" borderId="33" xfId="0" applyBorder="1" applyAlignment="1">
      <alignment vertical="center"/>
    </xf>
    <xf numFmtId="0" fontId="0" fillId="0" borderId="36" xfId="0" applyBorder="1" applyAlignment="1">
      <alignment vertical="center"/>
    </xf>
    <xf numFmtId="0" fontId="0" fillId="0" borderId="36" xfId="0" applyBorder="1"/>
    <xf numFmtId="1" fontId="0" fillId="0" borderId="44" xfId="0" applyNumberFormat="1" applyBorder="1" applyAlignment="1">
      <alignment horizontal="center" vertical="center"/>
    </xf>
    <xf numFmtId="1" fontId="0" fillId="0" borderId="19" xfId="0" applyNumberFormat="1" applyBorder="1" applyAlignment="1">
      <alignment horizontal="center" vertical="center"/>
    </xf>
    <xf numFmtId="1" fontId="0" fillId="0" borderId="30" xfId="0" applyNumberFormat="1" applyBorder="1" applyAlignment="1">
      <alignment horizontal="center" vertical="center"/>
    </xf>
    <xf numFmtId="2" fontId="0" fillId="0" borderId="50" xfId="0" applyNumberFormat="1" applyBorder="1" applyAlignment="1">
      <alignment horizontal="center" vertical="center"/>
    </xf>
    <xf numFmtId="2" fontId="0" fillId="0" borderId="13" xfId="0" applyNumberFormat="1" applyBorder="1" applyAlignment="1">
      <alignment horizontal="center" vertical="center"/>
    </xf>
    <xf numFmtId="2" fontId="0" fillId="0" borderId="50" xfId="0" applyNumberFormat="1" applyBorder="1" applyAlignment="1">
      <alignment horizontal="center"/>
    </xf>
    <xf numFmtId="2" fontId="0" fillId="0" borderId="1" xfId="0" applyNumberFormat="1" applyBorder="1" applyAlignment="1">
      <alignment horizontal="center"/>
    </xf>
    <xf numFmtId="2" fontId="0" fillId="0" borderId="13" xfId="0" applyNumberFormat="1" applyBorder="1" applyAlignment="1">
      <alignment horizontal="center"/>
    </xf>
    <xf numFmtId="2" fontId="0" fillId="0" borderId="45" xfId="0" applyNumberFormat="1" applyBorder="1" applyAlignment="1">
      <alignment horizontal="center"/>
    </xf>
    <xf numFmtId="2" fontId="0" fillId="0" borderId="23" xfId="0" applyNumberFormat="1" applyBorder="1" applyAlignment="1">
      <alignment horizontal="center"/>
    </xf>
    <xf numFmtId="2" fontId="0" fillId="0" borderId="28" xfId="0" applyNumberFormat="1" applyBorder="1" applyAlignment="1">
      <alignment horizontal="center"/>
    </xf>
    <xf numFmtId="0" fontId="1" fillId="55" borderId="21" xfId="0" applyFont="1" applyFill="1" applyBorder="1" applyAlignment="1">
      <alignment horizontal="center" vertical="center"/>
    </xf>
    <xf numFmtId="0" fontId="1" fillId="55" borderId="20" xfId="0" applyFont="1" applyFill="1" applyBorder="1" applyAlignment="1">
      <alignment horizontal="center" vertical="center" wrapText="1"/>
    </xf>
    <xf numFmtId="0" fontId="1" fillId="55" borderId="39" xfId="0" applyFont="1" applyFill="1" applyBorder="1" applyAlignment="1">
      <alignment vertical="center"/>
    </xf>
    <xf numFmtId="0" fontId="1" fillId="55" borderId="3" xfId="0" applyFont="1" applyFill="1" applyBorder="1" applyAlignment="1">
      <alignment horizontal="center" vertical="center"/>
    </xf>
    <xf numFmtId="0" fontId="1" fillId="55" borderId="35" xfId="0" applyFont="1" applyFill="1" applyBorder="1" applyAlignment="1">
      <alignment vertical="center"/>
    </xf>
    <xf numFmtId="0" fontId="0" fillId="55" borderId="36" xfId="0" applyFont="1" applyFill="1" applyBorder="1" applyAlignment="1">
      <alignment vertical="center"/>
    </xf>
    <xf numFmtId="0" fontId="0" fillId="55" borderId="38" xfId="0" applyFont="1" applyFill="1" applyBorder="1" applyAlignment="1">
      <alignment vertical="center"/>
    </xf>
    <xf numFmtId="0" fontId="4" fillId="55" borderId="3" xfId="0" applyFont="1" applyFill="1" applyBorder="1" applyAlignment="1">
      <alignment horizontal="center" vertical="center"/>
    </xf>
    <xf numFmtId="0" fontId="4" fillId="55" borderId="35" xfId="0" applyFont="1" applyFill="1" applyBorder="1" applyAlignment="1">
      <alignment vertical="center"/>
    </xf>
    <xf numFmtId="0" fontId="0" fillId="9" borderId="84" xfId="0" applyNumberFormat="1" applyFont="1" applyFill="1" applyBorder="1" applyAlignment="1">
      <alignment horizontal="center" vertical="center" wrapText="1"/>
    </xf>
    <xf numFmtId="0" fontId="1" fillId="0" borderId="91" xfId="0" applyFont="1" applyFill="1" applyBorder="1" applyAlignment="1">
      <alignment horizontal="center" vertical="center" wrapText="1"/>
    </xf>
    <xf numFmtId="0" fontId="0" fillId="0" borderId="40" xfId="0" applyFill="1" applyBorder="1" applyAlignment="1">
      <alignment horizontal="center" vertical="center"/>
    </xf>
    <xf numFmtId="0" fontId="2" fillId="14" borderId="40" xfId="0" applyNumberFormat="1" applyFont="1" applyFill="1" applyBorder="1" applyAlignment="1">
      <alignment horizontal="center" vertical="center" wrapText="1"/>
    </xf>
    <xf numFmtId="0" fontId="2" fillId="14" borderId="35" xfId="0" applyNumberFormat="1" applyFont="1" applyFill="1" applyBorder="1" applyAlignment="1">
      <alignment horizontal="center" vertical="center" wrapText="1"/>
    </xf>
    <xf numFmtId="0" fontId="25" fillId="51" borderId="3" xfId="0" applyFont="1" applyFill="1" applyBorder="1" applyAlignment="1">
      <alignment horizontal="center" vertical="center"/>
    </xf>
    <xf numFmtId="49" fontId="2" fillId="0" borderId="6" xfId="0" applyNumberFormat="1" applyFont="1" applyFill="1" applyBorder="1" applyAlignment="1">
      <alignment vertical="center" wrapText="1"/>
    </xf>
    <xf numFmtId="0" fontId="0" fillId="0" borderId="50" xfId="0" applyFont="1" applyBorder="1" applyAlignment="1">
      <alignment horizontal="center"/>
    </xf>
    <xf numFmtId="0" fontId="0" fillId="0" borderId="1" xfId="0" applyFont="1" applyBorder="1" applyAlignment="1">
      <alignment horizontal="center"/>
    </xf>
    <xf numFmtId="0" fontId="1" fillId="0" borderId="17" xfId="0" applyFont="1" applyBorder="1" applyAlignment="1">
      <alignment horizontal="center" vertical="center"/>
    </xf>
    <xf numFmtId="0" fontId="1" fillId="0" borderId="26" xfId="0" applyFont="1" applyFill="1" applyBorder="1" applyAlignment="1">
      <alignment horizontal="center" vertical="center" wrapText="1"/>
    </xf>
    <xf numFmtId="0" fontId="1" fillId="0" borderId="77" xfId="0" applyFont="1" applyBorder="1" applyAlignment="1">
      <alignment horizontal="center" vertical="center"/>
    </xf>
    <xf numFmtId="0" fontId="1" fillId="0" borderId="73" xfId="0" applyFont="1" applyFill="1" applyBorder="1" applyAlignment="1">
      <alignment horizontal="center" vertical="center" wrapText="1"/>
    </xf>
    <xf numFmtId="0" fontId="0" fillId="0" borderId="79" xfId="0" applyBorder="1" applyAlignment="1">
      <alignment horizontal="center" vertical="center"/>
    </xf>
    <xf numFmtId="0" fontId="0" fillId="0" borderId="0" xfId="0"/>
    <xf numFmtId="0" fontId="0" fillId="0" borderId="0" xfId="0" applyAlignment="1">
      <alignment vertical="center"/>
    </xf>
    <xf numFmtId="49" fontId="2" fillId="0" borderId="82" xfId="0" applyNumberFormat="1" applyFont="1" applyFill="1" applyBorder="1" applyAlignment="1">
      <alignment horizontal="center" vertical="center" wrapText="1"/>
    </xf>
    <xf numFmtId="0" fontId="2" fillId="0" borderId="55" xfId="0" applyNumberFormat="1" applyFont="1" applyFill="1" applyBorder="1" applyAlignment="1">
      <alignment horizontal="center" vertical="center" wrapText="1"/>
    </xf>
    <xf numFmtId="0" fontId="2" fillId="0" borderId="23" xfId="0" applyNumberFormat="1" applyFont="1" applyFill="1" applyBorder="1" applyAlignment="1">
      <alignment horizontal="center" vertical="center" wrapText="1"/>
    </xf>
    <xf numFmtId="0" fontId="2" fillId="0" borderId="45" xfId="0" applyNumberFormat="1" applyFont="1" applyFill="1" applyBorder="1" applyAlignment="1">
      <alignment horizontal="center" vertical="center" wrapText="1"/>
    </xf>
    <xf numFmtId="0" fontId="2" fillId="0" borderId="70" xfId="0" applyNumberFormat="1" applyFont="1" applyFill="1" applyBorder="1" applyAlignment="1">
      <alignment horizontal="center" vertical="center" wrapText="1"/>
    </xf>
    <xf numFmtId="0" fontId="2" fillId="0" borderId="38" xfId="0" applyNumberFormat="1" applyFont="1" applyFill="1" applyBorder="1" applyAlignment="1">
      <alignment horizontal="center" vertical="center" wrapText="1"/>
    </xf>
    <xf numFmtId="0" fontId="2" fillId="0" borderId="28" xfId="0" applyNumberFormat="1" applyFont="1" applyFill="1" applyBorder="1" applyAlignment="1">
      <alignment horizontal="center" vertical="center" wrapText="1"/>
    </xf>
    <xf numFmtId="0" fontId="0" fillId="9" borderId="28" xfId="0" applyNumberFormat="1" applyFont="1" applyFill="1" applyBorder="1" applyAlignment="1">
      <alignment vertical="center" wrapText="1"/>
    </xf>
    <xf numFmtId="0" fontId="0" fillId="9" borderId="82" xfId="0" applyNumberFormat="1" applyFont="1" applyFill="1" applyBorder="1" applyAlignment="1">
      <alignment horizontal="center" vertical="center" wrapText="1"/>
    </xf>
    <xf numFmtId="49" fontId="2" fillId="9" borderId="82" xfId="0" applyNumberFormat="1" applyFont="1" applyFill="1" applyBorder="1" applyAlignment="1">
      <alignment horizontal="center" vertical="center" wrapText="1"/>
    </xf>
    <xf numFmtId="0" fontId="2" fillId="9" borderId="82" xfId="0" applyNumberFormat="1" applyFont="1" applyFill="1" applyBorder="1" applyAlignment="1">
      <alignment horizontal="center" vertical="center" wrapText="1"/>
    </xf>
    <xf numFmtId="0" fontId="0" fillId="59" borderId="85"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horizontal="center" vertical="center" wrapText="1"/>
    </xf>
    <xf numFmtId="0" fontId="1" fillId="48" borderId="20" xfId="0" applyFont="1" applyFill="1" applyBorder="1" applyAlignment="1">
      <alignment horizontal="center" vertical="center" wrapText="1"/>
    </xf>
    <xf numFmtId="0" fontId="0" fillId="48" borderId="3" xfId="0" applyFill="1" applyBorder="1" applyAlignment="1">
      <alignment horizontal="center" vertical="center"/>
    </xf>
    <xf numFmtId="0" fontId="0" fillId="48" borderId="1" xfId="0" applyFill="1" applyBorder="1" applyAlignment="1">
      <alignment horizontal="center" vertical="center"/>
    </xf>
    <xf numFmtId="0" fontId="0" fillId="48" borderId="2" xfId="0" applyFill="1" applyBorder="1" applyAlignment="1">
      <alignment horizontal="center" vertical="center"/>
    </xf>
    <xf numFmtId="0" fontId="0" fillId="48" borderId="19" xfId="0" applyFill="1" applyBorder="1" applyAlignment="1">
      <alignment horizontal="center" vertical="center"/>
    </xf>
    <xf numFmtId="0" fontId="0" fillId="48" borderId="23" xfId="0" applyFill="1" applyBorder="1" applyAlignment="1">
      <alignment horizontal="center" vertical="center"/>
    </xf>
    <xf numFmtId="0" fontId="0" fillId="48" borderId="8" xfId="0" applyFill="1" applyBorder="1" applyAlignment="1">
      <alignment horizontal="center" vertical="center"/>
    </xf>
    <xf numFmtId="0" fontId="2" fillId="5" borderId="15" xfId="0" applyNumberFormat="1" applyFont="1" applyFill="1" applyBorder="1" applyAlignment="1">
      <alignment horizontal="center" vertical="center"/>
    </xf>
    <xf numFmtId="0" fontId="2" fillId="5" borderId="57" xfId="0" applyNumberFormat="1" applyFont="1" applyFill="1" applyBorder="1" applyAlignment="1">
      <alignment horizontal="center" vertical="center"/>
    </xf>
    <xf numFmtId="0" fontId="2" fillId="0" borderId="54" xfId="0" applyNumberFormat="1" applyFont="1" applyFill="1" applyBorder="1" applyAlignment="1">
      <alignment horizontal="center" vertical="center"/>
    </xf>
    <xf numFmtId="49" fontId="4" fillId="10" borderId="44" xfId="0" applyNumberFormat="1" applyFont="1" applyFill="1" applyBorder="1" applyAlignment="1">
      <alignment horizontal="center" vertical="center"/>
    </xf>
    <xf numFmtId="49" fontId="4" fillId="10" borderId="33" xfId="0" applyNumberFormat="1" applyFont="1" applyFill="1" applyBorder="1" applyAlignment="1">
      <alignment horizontal="center" vertical="center"/>
    </xf>
    <xf numFmtId="0" fontId="4" fillId="10" borderId="19" xfId="0" applyNumberFormat="1" applyFont="1" applyFill="1" applyBorder="1" applyAlignment="1">
      <alignment horizontal="center" vertical="center"/>
    </xf>
    <xf numFmtId="0" fontId="4" fillId="10" borderId="21" xfId="0" applyNumberFormat="1" applyFont="1" applyFill="1" applyBorder="1" applyAlignment="1">
      <alignment horizontal="center" vertical="center"/>
    </xf>
    <xf numFmtId="0" fontId="2" fillId="14" borderId="29" xfId="0" applyNumberFormat="1" applyFont="1" applyFill="1" applyBorder="1" applyAlignment="1">
      <alignment horizontal="center" vertical="center" wrapText="1"/>
    </xf>
    <xf numFmtId="0" fontId="2" fillId="14" borderId="6" xfId="0" applyNumberFormat="1" applyFont="1" applyFill="1" applyBorder="1" applyAlignment="1">
      <alignment horizontal="center" vertical="center" wrapText="1"/>
    </xf>
    <xf numFmtId="0" fontId="2" fillId="0" borderId="60" xfId="0" applyNumberFormat="1" applyFont="1" applyFill="1" applyBorder="1" applyAlignment="1">
      <alignment horizontal="center" vertical="center"/>
    </xf>
    <xf numFmtId="0" fontId="2" fillId="5" borderId="63" xfId="0" applyNumberFormat="1" applyFont="1" applyFill="1" applyBorder="1" applyAlignment="1">
      <alignment horizontal="center" vertical="center"/>
    </xf>
    <xf numFmtId="0" fontId="2" fillId="0" borderId="62" xfId="0" applyNumberFormat="1" applyFont="1" applyBorder="1" applyAlignment="1">
      <alignment horizontal="center" vertical="center"/>
    </xf>
    <xf numFmtId="0" fontId="2" fillId="5" borderId="62" xfId="0" applyNumberFormat="1" applyFont="1" applyFill="1" applyBorder="1" applyAlignment="1">
      <alignment horizontal="center" vertical="center"/>
    </xf>
    <xf numFmtId="0" fontId="2" fillId="0" borderId="76" xfId="0" applyNumberFormat="1" applyFont="1" applyBorder="1" applyAlignment="1">
      <alignment horizontal="center" vertical="center"/>
    </xf>
    <xf numFmtId="0" fontId="2" fillId="0" borderId="63" xfId="0" applyNumberFormat="1" applyFont="1" applyBorder="1" applyAlignment="1">
      <alignment horizontal="center" vertical="center"/>
    </xf>
    <xf numFmtId="0" fontId="2" fillId="0" borderId="61" xfId="0" applyNumberFormat="1" applyFont="1" applyBorder="1" applyAlignment="1">
      <alignment horizontal="center" vertical="center"/>
    </xf>
    <xf numFmtId="0" fontId="2" fillId="0" borderId="61" xfId="0" applyNumberFormat="1" applyFont="1" applyFill="1" applyBorder="1" applyAlignment="1">
      <alignment horizontal="center" vertical="center"/>
    </xf>
    <xf numFmtId="0" fontId="2" fillId="0" borderId="62" xfId="0" applyNumberFormat="1" applyFont="1" applyFill="1" applyBorder="1" applyAlignment="1">
      <alignment horizontal="center" vertical="center"/>
    </xf>
    <xf numFmtId="0" fontId="2" fillId="0" borderId="63" xfId="0" applyNumberFormat="1" applyFont="1" applyFill="1" applyBorder="1" applyAlignment="1">
      <alignment horizontal="center" vertical="center"/>
    </xf>
    <xf numFmtId="0" fontId="2" fillId="0" borderId="65" xfId="0" applyNumberFormat="1" applyFont="1" applyFill="1" applyBorder="1" applyAlignment="1">
      <alignment horizontal="center" vertical="center"/>
    </xf>
    <xf numFmtId="0" fontId="2" fillId="9" borderId="60" xfId="0" applyNumberFormat="1" applyFont="1" applyFill="1" applyBorder="1" applyAlignment="1">
      <alignment horizontal="center" vertical="center" wrapText="1"/>
    </xf>
    <xf numFmtId="0" fontId="2" fillId="0" borderId="60" xfId="0" applyNumberFormat="1" applyFont="1" applyFill="1" applyBorder="1" applyAlignment="1">
      <alignment horizontal="center" vertical="center" wrapText="1"/>
    </xf>
    <xf numFmtId="0" fontId="2" fillId="9" borderId="61" xfId="0" applyNumberFormat="1" applyFont="1" applyFill="1" applyBorder="1" applyAlignment="1">
      <alignment horizontal="center" vertical="center" wrapText="1"/>
    </xf>
    <xf numFmtId="0" fontId="2" fillId="0" borderId="126" xfId="0" applyNumberFormat="1" applyFont="1" applyFill="1" applyBorder="1" applyAlignment="1">
      <alignment horizontal="center" vertical="center" wrapText="1"/>
    </xf>
    <xf numFmtId="0" fontId="2" fillId="0" borderId="60" xfId="5" applyNumberFormat="1" applyFont="1" applyFill="1" applyBorder="1" applyAlignment="1">
      <alignment horizontal="center" vertical="center" wrapText="1"/>
    </xf>
    <xf numFmtId="0" fontId="2" fillId="0" borderId="116" xfId="0" applyNumberFormat="1" applyFont="1" applyFill="1" applyBorder="1" applyAlignment="1">
      <alignment horizontal="center" vertical="center" wrapText="1"/>
    </xf>
    <xf numFmtId="0" fontId="2" fillId="14" borderId="59" xfId="0" applyNumberFormat="1" applyFont="1" applyFill="1" applyBorder="1" applyAlignment="1">
      <alignment horizontal="center" vertical="center" wrapText="1"/>
    </xf>
    <xf numFmtId="0" fontId="2" fillId="14" borderId="51" xfId="0" applyNumberFormat="1" applyFont="1" applyFill="1" applyBorder="1" applyAlignment="1">
      <alignment horizontal="center" vertical="center" wrapText="1"/>
    </xf>
    <xf numFmtId="0" fontId="2" fillId="5" borderId="44" xfId="0" applyNumberFormat="1" applyFont="1" applyFill="1" applyBorder="1" applyAlignment="1">
      <alignment horizontal="center" vertical="center" wrapText="1"/>
    </xf>
    <xf numFmtId="0" fontId="2" fillId="5" borderId="50" xfId="0" applyNumberFormat="1" applyFont="1" applyFill="1" applyBorder="1" applyAlignment="1">
      <alignment horizontal="center" vertical="center" wrapText="1"/>
    </xf>
    <xf numFmtId="0" fontId="2" fillId="5" borderId="68" xfId="0" applyNumberFormat="1" applyFont="1" applyFill="1" applyBorder="1" applyAlignment="1">
      <alignment horizontal="center" vertical="center" wrapText="1"/>
    </xf>
    <xf numFmtId="0" fontId="2" fillId="5" borderId="54" xfId="0" applyNumberFormat="1" applyFont="1" applyFill="1" applyBorder="1" applyAlignment="1">
      <alignment horizontal="center" vertical="center" wrapText="1"/>
    </xf>
    <xf numFmtId="0" fontId="2" fillId="5" borderId="51" xfId="0" applyNumberFormat="1" applyFont="1" applyFill="1" applyBorder="1" applyAlignment="1">
      <alignment horizontal="center" vertical="center" wrapText="1"/>
    </xf>
    <xf numFmtId="1" fontId="2" fillId="0" borderId="49" xfId="0" applyNumberFormat="1" applyFont="1" applyFill="1" applyBorder="1" applyAlignment="1">
      <alignment horizontal="center" vertical="center" wrapText="1"/>
    </xf>
    <xf numFmtId="0" fontId="2" fillId="0" borderId="11" xfId="0" applyNumberFormat="1" applyFont="1" applyFill="1" applyBorder="1" applyAlignment="1">
      <alignment vertical="center" wrapText="1"/>
    </xf>
    <xf numFmtId="1" fontId="2" fillId="0" borderId="75"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wrapText="1"/>
    </xf>
    <xf numFmtId="1" fontId="2" fillId="0" borderId="43" xfId="0" applyNumberFormat="1" applyFont="1" applyFill="1" applyBorder="1" applyAlignment="1">
      <alignment horizontal="center" vertical="center" wrapText="1"/>
    </xf>
    <xf numFmtId="1" fontId="0" fillId="0" borderId="45" xfId="0" applyNumberFormat="1" applyFont="1" applyBorder="1" applyAlignment="1">
      <alignment horizontal="center" vertical="center"/>
    </xf>
    <xf numFmtId="0" fontId="26" fillId="5" borderId="23" xfId="0" applyFont="1" applyFill="1" applyBorder="1" applyAlignment="1">
      <alignment horizontal="center" vertical="center"/>
    </xf>
    <xf numFmtId="0" fontId="1" fillId="0" borderId="45" xfId="0" applyFont="1" applyFill="1" applyBorder="1" applyAlignment="1">
      <alignment horizontal="center" vertical="center"/>
    </xf>
    <xf numFmtId="0" fontId="1" fillId="55" borderId="23" xfId="0" applyFont="1" applyFill="1" applyBorder="1" applyAlignment="1">
      <alignment horizontal="center" vertical="center"/>
    </xf>
    <xf numFmtId="0" fontId="4" fillId="55" borderId="23" xfId="0" applyFont="1" applyFill="1" applyBorder="1" applyAlignment="1">
      <alignment horizontal="center" vertical="center"/>
    </xf>
    <xf numFmtId="0" fontId="1" fillId="55" borderId="38" xfId="0" applyFont="1" applyFill="1" applyBorder="1" applyAlignment="1">
      <alignment vertical="center"/>
    </xf>
    <xf numFmtId="49" fontId="1" fillId="10" borderId="77" xfId="0" applyNumberFormat="1" applyFont="1" applyFill="1" applyBorder="1" applyAlignment="1">
      <alignment horizontal="center"/>
    </xf>
    <xf numFmtId="49" fontId="4" fillId="10" borderId="80" xfId="0" applyNumberFormat="1" applyFont="1" applyFill="1" applyBorder="1" applyAlignment="1">
      <alignment horizontal="center" vertical="center"/>
    </xf>
    <xf numFmtId="0" fontId="2" fillId="0" borderId="80" xfId="0" applyNumberFormat="1" applyFont="1" applyFill="1" applyBorder="1" applyAlignment="1">
      <alignment horizontal="center" vertical="center"/>
    </xf>
    <xf numFmtId="0" fontId="25" fillId="6" borderId="79" xfId="0" applyNumberFormat="1" applyFont="1" applyFill="1" applyBorder="1" applyAlignment="1">
      <alignment horizontal="center" vertical="center" wrapText="1"/>
    </xf>
    <xf numFmtId="0" fontId="0" fillId="0" borderId="86" xfId="0" applyNumberFormat="1" applyFont="1" applyFill="1" applyBorder="1" applyAlignment="1">
      <alignment horizontal="center" vertical="center" wrapText="1"/>
    </xf>
    <xf numFmtId="49" fontId="2" fillId="0" borderId="86" xfId="0" applyNumberFormat="1" applyFont="1" applyFill="1" applyBorder="1" applyAlignment="1">
      <alignment horizontal="center" vertical="center" wrapText="1"/>
    </xf>
    <xf numFmtId="1" fontId="2" fillId="7" borderId="126" xfId="0" applyNumberFormat="1" applyFont="1" applyFill="1" applyBorder="1" applyAlignment="1">
      <alignment horizontal="center" vertical="center" wrapText="1"/>
    </xf>
    <xf numFmtId="1" fontId="2" fillId="7" borderId="48" xfId="0" applyNumberFormat="1" applyFont="1" applyFill="1" applyBorder="1" applyAlignment="1">
      <alignment horizontal="center" vertical="center" wrapText="1"/>
    </xf>
    <xf numFmtId="1" fontId="2" fillId="7" borderId="92" xfId="0" applyNumberFormat="1" applyFont="1" applyFill="1" applyBorder="1" applyAlignment="1">
      <alignment horizontal="center" vertical="center" wrapText="1"/>
    </xf>
    <xf numFmtId="1" fontId="2" fillId="7" borderId="47" xfId="0" applyNumberFormat="1"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NumberFormat="1" applyFont="1" applyFill="1" applyBorder="1" applyAlignment="1">
      <alignment vertical="center" wrapText="1"/>
    </xf>
    <xf numFmtId="0" fontId="0" fillId="0" borderId="129" xfId="0" applyNumberFormat="1" applyFont="1" applyFill="1" applyBorder="1" applyAlignment="1">
      <alignment horizontal="center" vertical="center" wrapText="1"/>
    </xf>
    <xf numFmtId="49" fontId="2" fillId="0" borderId="129" xfId="0" applyNumberFormat="1" applyFont="1" applyFill="1" applyBorder="1" applyAlignment="1">
      <alignment horizontal="center" vertical="center" wrapText="1"/>
    </xf>
    <xf numFmtId="0" fontId="2" fillId="0" borderId="129" xfId="0" applyNumberFormat="1" applyFont="1" applyFill="1" applyBorder="1" applyAlignment="1">
      <alignment horizontal="center" vertical="center" wrapText="1"/>
    </xf>
    <xf numFmtId="1" fontId="2" fillId="7" borderId="130" xfId="0" applyNumberFormat="1" applyFont="1" applyFill="1" applyBorder="1" applyAlignment="1">
      <alignment horizontal="center" vertical="center" wrapText="1"/>
    </xf>
    <xf numFmtId="1" fontId="2" fillId="7" borderId="127" xfId="0" applyNumberFormat="1" applyFont="1" applyFill="1" applyBorder="1" applyAlignment="1">
      <alignment horizontal="center" vertical="center" wrapText="1"/>
    </xf>
    <xf numFmtId="1" fontId="2" fillId="7" borderId="131" xfId="0" applyNumberFormat="1" applyFont="1" applyFill="1" applyBorder="1" applyAlignment="1">
      <alignment horizontal="center" vertical="center" wrapText="1"/>
    </xf>
    <xf numFmtId="1" fontId="2" fillId="7" borderId="132" xfId="0" applyNumberFormat="1" applyFont="1" applyFill="1" applyBorder="1" applyAlignment="1">
      <alignment horizontal="center" vertical="center" wrapText="1"/>
    </xf>
    <xf numFmtId="0" fontId="2" fillId="0" borderId="133" xfId="0" applyNumberFormat="1" applyFont="1" applyFill="1" applyBorder="1" applyAlignment="1">
      <alignment horizontal="center" vertical="center" wrapText="1"/>
    </xf>
    <xf numFmtId="0" fontId="2" fillId="0" borderId="132" xfId="0" applyNumberFormat="1" applyFont="1" applyFill="1" applyBorder="1" applyAlignment="1">
      <alignment horizontal="center" vertical="center" wrapText="1"/>
    </xf>
    <xf numFmtId="0" fontId="2" fillId="0" borderId="134" xfId="0" applyNumberFormat="1" applyFont="1" applyFill="1" applyBorder="1" applyAlignment="1">
      <alignment horizontal="center" vertical="center" wrapText="1"/>
    </xf>
    <xf numFmtId="0" fontId="2" fillId="0" borderId="127" xfId="0" applyNumberFormat="1" applyFont="1" applyFill="1" applyBorder="1" applyAlignment="1">
      <alignment horizontal="center" vertical="center" wrapText="1"/>
    </xf>
    <xf numFmtId="0" fontId="2" fillId="0" borderId="131" xfId="0" applyNumberFormat="1" applyFont="1" applyFill="1" applyBorder="1" applyAlignment="1">
      <alignment horizontal="center" vertical="center" wrapText="1"/>
    </xf>
    <xf numFmtId="0" fontId="2" fillId="0" borderId="128" xfId="0" applyNumberFormat="1" applyFont="1" applyFill="1" applyBorder="1" applyAlignment="1">
      <alignment horizontal="center" vertical="center" wrapText="1"/>
    </xf>
    <xf numFmtId="0" fontId="2" fillId="0" borderId="130" xfId="0" applyNumberFormat="1" applyFont="1" applyFill="1" applyBorder="1" applyAlignment="1">
      <alignment horizontal="center" vertical="center" wrapText="1"/>
    </xf>
    <xf numFmtId="0" fontId="2" fillId="14" borderId="129" xfId="0" applyNumberFormat="1" applyFont="1" applyFill="1" applyBorder="1" applyAlignment="1">
      <alignment horizontal="center" vertical="center" wrapText="1"/>
    </xf>
    <xf numFmtId="0" fontId="1" fillId="61" borderId="122" xfId="0" applyFont="1" applyFill="1" applyBorder="1" applyAlignment="1">
      <alignment vertical="center"/>
    </xf>
    <xf numFmtId="2" fontId="0" fillId="0" borderId="6" xfId="0" applyNumberFormat="1" applyFont="1" applyFill="1" applyBorder="1" applyAlignment="1">
      <alignment horizontal="center" vertical="center" wrapText="1"/>
    </xf>
    <xf numFmtId="2" fontId="0" fillId="0" borderId="28" xfId="0" applyNumberFormat="1" applyFont="1" applyFill="1" applyBorder="1" applyAlignment="1">
      <alignment horizontal="center" vertical="center" wrapText="1"/>
    </xf>
    <xf numFmtId="2" fontId="0" fillId="0" borderId="13" xfId="0" applyNumberFormat="1"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58" borderId="122" xfId="0" applyFont="1" applyFill="1" applyBorder="1" applyAlignment="1">
      <alignment vertical="center"/>
    </xf>
    <xf numFmtId="166" fontId="0" fillId="0" borderId="0" xfId="0" applyNumberFormat="1" applyFont="1" applyAlignment="1">
      <alignment vertical="center"/>
    </xf>
    <xf numFmtId="0" fontId="1" fillId="14" borderId="110" xfId="0" applyFont="1" applyFill="1" applyBorder="1" applyAlignment="1">
      <alignment horizontal="center" vertical="center"/>
    </xf>
    <xf numFmtId="0" fontId="1" fillId="62" borderId="47" xfId="0" applyFont="1" applyFill="1" applyBorder="1" applyAlignment="1">
      <alignment horizontal="center" vertical="center" wrapText="1"/>
    </xf>
    <xf numFmtId="164" fontId="2" fillId="0" borderId="2" xfId="2" applyFont="1" applyFill="1" applyBorder="1" applyAlignment="1">
      <alignment horizontal="left" vertical="center" wrapText="1"/>
    </xf>
    <xf numFmtId="0" fontId="2" fillId="5" borderId="59" xfId="0" applyNumberFormat="1" applyFont="1" applyFill="1" applyBorder="1" applyAlignment="1">
      <alignment horizontal="center" vertical="center" wrapText="1"/>
    </xf>
    <xf numFmtId="0" fontId="2" fillId="5" borderId="58" xfId="0" applyNumberFormat="1" applyFont="1" applyFill="1" applyBorder="1" applyAlignment="1">
      <alignment horizontal="center" vertical="center" wrapText="1"/>
    </xf>
    <xf numFmtId="0" fontId="1" fillId="62" borderId="126" xfId="0" applyFont="1" applyFill="1" applyBorder="1" applyAlignment="1">
      <alignment horizontal="center" vertical="center" wrapText="1"/>
    </xf>
    <xf numFmtId="2" fontId="0" fillId="62" borderId="61" xfId="0" applyNumberFormat="1" applyFont="1" applyFill="1" applyBorder="1" applyAlignment="1">
      <alignment horizontal="center" vertical="center" wrapText="1"/>
    </xf>
    <xf numFmtId="2" fontId="0" fillId="62" borderId="70" xfId="0" applyNumberFormat="1" applyFont="1" applyFill="1" applyBorder="1" applyAlignment="1">
      <alignment horizontal="center" vertical="center" wrapText="1"/>
    </xf>
    <xf numFmtId="2" fontId="0" fillId="0" borderId="61" xfId="0" applyNumberFormat="1" applyFont="1" applyFill="1" applyBorder="1" applyAlignment="1">
      <alignment horizontal="center" vertical="center" wrapText="1"/>
    </xf>
    <xf numFmtId="2" fontId="0" fillId="0" borderId="62" xfId="0" applyNumberFormat="1" applyFont="1" applyFill="1" applyBorder="1" applyAlignment="1">
      <alignment horizontal="center" vertical="center" wrapText="1"/>
    </xf>
    <xf numFmtId="2" fontId="0" fillId="62" borderId="62" xfId="0" applyNumberFormat="1" applyFont="1" applyFill="1" applyBorder="1" applyAlignment="1">
      <alignment horizontal="center" vertical="center" wrapText="1"/>
    </xf>
    <xf numFmtId="2" fontId="0" fillId="0" borderId="70" xfId="0" applyNumberFormat="1" applyFont="1" applyFill="1" applyBorder="1" applyAlignment="1">
      <alignment horizontal="center" vertical="center" wrapText="1"/>
    </xf>
    <xf numFmtId="49" fontId="4" fillId="12" borderId="77" xfId="0" applyNumberFormat="1" applyFont="1" applyFill="1" applyBorder="1" applyAlignment="1">
      <alignment horizontal="center" vertical="center"/>
    </xf>
    <xf numFmtId="49" fontId="4" fillId="12" borderId="80" xfId="0" applyNumberFormat="1" applyFont="1" applyFill="1" applyBorder="1" applyAlignment="1">
      <alignment horizontal="center" vertical="center"/>
    </xf>
    <xf numFmtId="0" fontId="2" fillId="0" borderId="81" xfId="0" applyNumberFormat="1" applyFont="1" applyBorder="1" applyAlignment="1">
      <alignment horizontal="center" vertical="center"/>
    </xf>
    <xf numFmtId="0" fontId="2" fillId="0" borderId="74" xfId="0" applyNumberFormat="1" applyFont="1" applyBorder="1" applyAlignment="1">
      <alignment horizontal="center" vertical="center"/>
    </xf>
    <xf numFmtId="0" fontId="2" fillId="0" borderId="80" xfId="0" applyNumberFormat="1" applyFont="1" applyBorder="1" applyAlignment="1">
      <alignment horizontal="center" vertical="center"/>
    </xf>
    <xf numFmtId="0" fontId="2" fillId="0" borderId="79" xfId="0" applyNumberFormat="1" applyFont="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5" xfId="0" applyFont="1" applyFill="1" applyBorder="1" applyAlignment="1">
      <alignment horizontal="center" vertical="center"/>
    </xf>
    <xf numFmtId="0" fontId="0" fillId="0" borderId="25" xfId="0" applyFill="1" applyBorder="1" applyAlignment="1">
      <alignment horizontal="center" vertical="center"/>
    </xf>
    <xf numFmtId="0" fontId="0" fillId="14" borderId="3" xfId="0" applyFill="1" applyBorder="1" applyAlignment="1">
      <alignment horizontal="center" vertical="center"/>
    </xf>
    <xf numFmtId="0" fontId="0" fillId="0" borderId="31" xfId="0" applyBorder="1" applyAlignment="1">
      <alignment horizontal="center" vertical="center"/>
    </xf>
    <xf numFmtId="0" fontId="0" fillId="0" borderId="1" xfId="0" applyFont="1" applyFill="1" applyBorder="1" applyAlignment="1">
      <alignment horizontal="left" vertical="center" wrapText="1"/>
    </xf>
    <xf numFmtId="0" fontId="0" fillId="0" borderId="4" xfId="0" applyBorder="1" applyAlignment="1">
      <alignment horizontal="center" vertical="center" wrapText="1"/>
    </xf>
    <xf numFmtId="0" fontId="0" fillId="0" borderId="2" xfId="0" applyFill="1" applyBorder="1" applyAlignment="1">
      <alignment vertical="center" wrapText="1"/>
    </xf>
    <xf numFmtId="0" fontId="0" fillId="0" borderId="21" xfId="0" applyFill="1" applyBorder="1" applyAlignment="1">
      <alignment vertical="center" wrapText="1"/>
    </xf>
    <xf numFmtId="49" fontId="2" fillId="0" borderId="133" xfId="0" applyNumberFormat="1" applyFont="1" applyFill="1" applyBorder="1" applyAlignment="1">
      <alignment horizontal="center" vertical="center" wrapText="1"/>
    </xf>
    <xf numFmtId="1" fontId="2" fillId="0" borderId="6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69" xfId="0" applyNumberFormat="1" applyFont="1" applyFill="1" applyBorder="1" applyAlignment="1">
      <alignment horizontal="center" vertical="center" wrapText="1"/>
    </xf>
    <xf numFmtId="1" fontId="2" fillId="0" borderId="36" xfId="0" applyNumberFormat="1" applyFont="1" applyFill="1" applyBorder="1" applyAlignment="1">
      <alignment horizontal="center" vertical="center" wrapText="1"/>
    </xf>
    <xf numFmtId="2" fontId="25" fillId="6" borderId="6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21" xfId="0" applyFont="1" applyFill="1" applyBorder="1" applyAlignment="1">
      <alignment vertical="center" wrapText="1"/>
    </xf>
    <xf numFmtId="0" fontId="0" fillId="0" borderId="21" xfId="0" applyBorder="1" applyAlignment="1">
      <alignmen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center"/>
    </xf>
    <xf numFmtId="0" fontId="0" fillId="0" borderId="26" xfId="0" applyFont="1" applyFill="1" applyBorder="1" applyAlignment="1">
      <alignment vertical="center"/>
    </xf>
    <xf numFmtId="0" fontId="0" fillId="0" borderId="25" xfId="0" applyFont="1" applyFill="1" applyBorder="1" applyAlignment="1">
      <alignment horizontal="left" vertical="center"/>
    </xf>
    <xf numFmtId="0" fontId="2" fillId="5" borderId="3" xfId="0" applyFont="1" applyFill="1" applyBorder="1" applyAlignment="1">
      <alignment vertical="center" wrapText="1"/>
    </xf>
    <xf numFmtId="0" fontId="0" fillId="0" borderId="20" xfId="0" applyFont="1" applyFill="1" applyBorder="1" applyAlignment="1">
      <alignment horizontal="left" vertical="center" wrapText="1"/>
    </xf>
    <xf numFmtId="168" fontId="0" fillId="0" borderId="0" xfId="0" applyNumberFormat="1" applyAlignment="1">
      <alignment horizontal="center" vertical="center"/>
    </xf>
    <xf numFmtId="0" fontId="0" fillId="0" borderId="94" xfId="0" applyBorder="1" applyAlignment="1">
      <alignment horizontal="center" vertical="center" wrapText="1"/>
    </xf>
    <xf numFmtId="0" fontId="0" fillId="0" borderId="94" xfId="0" applyBorder="1" applyAlignment="1">
      <alignment vertical="center" wrapText="1"/>
    </xf>
    <xf numFmtId="0" fontId="0" fillId="0" borderId="135" xfId="0" applyFont="1" applyFill="1" applyBorder="1" applyAlignment="1">
      <alignment vertical="center" wrapText="1"/>
    </xf>
    <xf numFmtId="0" fontId="29" fillId="0" borderId="31" xfId="0" applyFont="1" applyBorder="1" applyAlignment="1">
      <alignment horizontal="center" vertical="center" wrapText="1"/>
    </xf>
    <xf numFmtId="164" fontId="0" fillId="0" borderId="8" xfId="1" applyFont="1" applyFill="1" applyBorder="1" applyAlignment="1">
      <alignment horizontal="center" vertical="center" wrapText="1"/>
    </xf>
    <xf numFmtId="0" fontId="0" fillId="0" borderId="8" xfId="0" applyFont="1" applyBorder="1" applyAlignment="1">
      <alignment vertical="center" wrapText="1"/>
    </xf>
    <xf numFmtId="0" fontId="0" fillId="0" borderId="8" xfId="0" applyFont="1" applyBorder="1" applyAlignment="1">
      <alignment wrapText="1"/>
    </xf>
    <xf numFmtId="0" fontId="0" fillId="0" borderId="9" xfId="0" applyFont="1" applyBorder="1" applyAlignment="1">
      <alignment wrapText="1"/>
    </xf>
    <xf numFmtId="0" fontId="0" fillId="0" borderId="8" xfId="0" applyFont="1" applyBorder="1" applyAlignment="1">
      <alignment horizontal="center" vertical="center" wrapText="1"/>
    </xf>
    <xf numFmtId="0" fontId="0" fillId="0" borderId="0" xfId="0" applyBorder="1" applyAlignment="1"/>
    <xf numFmtId="169" fontId="0" fillId="0" borderId="20" xfId="0" applyNumberFormat="1" applyBorder="1" applyAlignment="1">
      <alignment horizontal="center" vertical="center"/>
    </xf>
    <xf numFmtId="169" fontId="0" fillId="0" borderId="3" xfId="0" applyNumberFormat="1" applyBorder="1" applyAlignment="1">
      <alignment horizontal="center" vertical="center"/>
    </xf>
    <xf numFmtId="169" fontId="0" fillId="0" borderId="25" xfId="0" applyNumberFormat="1" applyFill="1" applyBorder="1" applyAlignment="1">
      <alignment horizontal="center" vertical="center"/>
    </xf>
    <xf numFmtId="169" fontId="0" fillId="0" borderId="3" xfId="0" applyNumberFormat="1" applyFill="1" applyBorder="1" applyAlignment="1">
      <alignment horizontal="center" vertical="center"/>
    </xf>
    <xf numFmtId="169" fontId="0" fillId="0" borderId="1" xfId="0" applyNumberFormat="1" applyFill="1" applyBorder="1" applyAlignment="1">
      <alignment horizontal="center" vertical="center"/>
    </xf>
    <xf numFmtId="169" fontId="0" fillId="0" borderId="2" xfId="0" applyNumberFormat="1" applyFill="1" applyBorder="1" applyAlignment="1">
      <alignment horizontal="center" vertical="center"/>
    </xf>
    <xf numFmtId="169" fontId="0" fillId="0" borderId="21" xfId="0" applyNumberFormat="1" applyFill="1" applyBorder="1" applyAlignment="1">
      <alignment horizontal="center" vertical="center"/>
    </xf>
    <xf numFmtId="169" fontId="0" fillId="0" borderId="25" xfId="0" applyNumberFormat="1" applyBorder="1" applyAlignment="1">
      <alignment horizontal="center" vertical="center"/>
    </xf>
    <xf numFmtId="169" fontId="0" fillId="0" borderId="1" xfId="0" applyNumberFormat="1" applyBorder="1" applyAlignment="1">
      <alignment horizontal="center" vertical="center"/>
    </xf>
    <xf numFmtId="169" fontId="2" fillId="0" borderId="1" xfId="0" applyNumberFormat="1" applyFont="1" applyFill="1" applyBorder="1" applyAlignment="1">
      <alignment horizontal="center" vertical="center"/>
    </xf>
    <xf numFmtId="169" fontId="0" fillId="0" borderId="21" xfId="0" applyNumberFormat="1" applyBorder="1" applyAlignment="1">
      <alignment horizontal="center" vertical="center"/>
    </xf>
    <xf numFmtId="169" fontId="0" fillId="0" borderId="94" xfId="0" applyNumberFormat="1" applyBorder="1" applyAlignment="1">
      <alignment horizontal="center" vertical="center"/>
    </xf>
    <xf numFmtId="0" fontId="2" fillId="6" borderId="3" xfId="0" applyFont="1" applyFill="1" applyBorder="1" applyAlignment="1">
      <alignment horizontal="center" vertical="center"/>
    </xf>
    <xf numFmtId="165" fontId="2" fillId="6" borderId="3" xfId="0" applyNumberFormat="1" applyFont="1" applyFill="1" applyBorder="1" applyAlignment="1">
      <alignment horizontal="center" vertical="center"/>
    </xf>
    <xf numFmtId="165" fontId="0" fillId="6" borderId="51" xfId="0" applyNumberFormat="1" applyFont="1" applyFill="1" applyBorder="1" applyAlignment="1">
      <alignment horizontal="center" vertical="center"/>
    </xf>
    <xf numFmtId="165" fontId="0" fillId="6" borderId="3" xfId="0" applyNumberFormat="1" applyFont="1" applyFill="1" applyBorder="1" applyAlignment="1">
      <alignment horizontal="center" vertical="center"/>
    </xf>
    <xf numFmtId="165" fontId="1" fillId="6" borderId="35" xfId="0" applyNumberFormat="1" applyFont="1" applyFill="1" applyBorder="1" applyAlignment="1">
      <alignment horizontal="center" vertical="center"/>
    </xf>
    <xf numFmtId="0" fontId="0" fillId="6" borderId="35" xfId="0" applyFill="1" applyBorder="1" applyAlignment="1">
      <alignment horizontal="center" vertical="center"/>
    </xf>
    <xf numFmtId="0" fontId="0" fillId="0" borderId="4" xfId="0" applyFill="1" applyBorder="1" applyAlignment="1">
      <alignment vertical="center" wrapText="1"/>
    </xf>
    <xf numFmtId="169" fontId="0" fillId="0" borderId="2" xfId="0" applyNumberFormat="1" applyBorder="1" applyAlignment="1">
      <alignment horizontal="center" vertical="center"/>
    </xf>
    <xf numFmtId="168" fontId="1" fillId="0" borderId="21"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24" xfId="0" applyFill="1" applyBorder="1" applyAlignment="1">
      <alignment horizontal="center" vertical="center" wrapText="1"/>
    </xf>
    <xf numFmtId="49" fontId="0" fillId="0" borderId="0" xfId="0" applyNumberFormat="1" applyBorder="1" applyAlignment="1">
      <alignment horizontal="center"/>
    </xf>
    <xf numFmtId="0" fontId="38" fillId="0" borderId="19" xfId="0" applyFont="1" applyBorder="1" applyAlignment="1">
      <alignment horizontal="left" vertical="center"/>
    </xf>
    <xf numFmtId="0" fontId="38" fillId="0" borderId="33" xfId="0" applyFont="1" applyBorder="1" applyAlignment="1">
      <alignment horizontal="left" vertical="center"/>
    </xf>
    <xf numFmtId="0" fontId="38" fillId="0" borderId="70" xfId="0" applyFont="1" applyBorder="1" applyAlignment="1">
      <alignment horizontal="left" vertical="center" wrapText="1"/>
    </xf>
    <xf numFmtId="0" fontId="38" fillId="0" borderId="55" xfId="0" applyFont="1" applyBorder="1" applyAlignment="1">
      <alignment horizontal="left" vertical="center" wrapText="1"/>
    </xf>
    <xf numFmtId="0" fontId="0" fillId="0" borderId="0" xfId="0" applyBorder="1" applyAlignment="1"/>
    <xf numFmtId="0" fontId="38" fillId="0" borderId="23" xfId="0" applyFont="1" applyBorder="1" applyAlignment="1">
      <alignment horizontal="left" vertical="center"/>
    </xf>
    <xf numFmtId="0" fontId="38" fillId="0" borderId="38" xfId="0" applyFont="1" applyBorder="1" applyAlignment="1">
      <alignment horizontal="left" vertical="center"/>
    </xf>
    <xf numFmtId="0" fontId="38" fillId="0" borderId="65" xfId="0" applyFont="1" applyBorder="1" applyAlignment="1">
      <alignment horizontal="left" vertical="center" wrapText="1"/>
    </xf>
    <xf numFmtId="0" fontId="38" fillId="0" borderId="88" xfId="0" applyFont="1" applyBorder="1" applyAlignment="1">
      <alignment horizontal="left" vertical="center" wrapText="1"/>
    </xf>
    <xf numFmtId="0" fontId="38" fillId="0" borderId="78" xfId="0" applyFont="1" applyBorder="1" applyAlignment="1">
      <alignment horizontal="left" vertical="center" wrapText="1"/>
    </xf>
    <xf numFmtId="0" fontId="0" fillId="0" borderId="0" xfId="0" applyBorder="1"/>
    <xf numFmtId="0" fontId="46" fillId="0" borderId="0" xfId="0" applyFont="1" applyBorder="1" applyAlignment="1">
      <alignment horizontal="center" vertical="center" wrapText="1"/>
    </xf>
    <xf numFmtId="0" fontId="46" fillId="0" borderId="0" xfId="0" applyFont="1" applyBorder="1" applyAlignment="1">
      <alignment horizontal="center" vertical="center"/>
    </xf>
    <xf numFmtId="0" fontId="29" fillId="0" borderId="0" xfId="0" applyFont="1" applyBorder="1" applyAlignment="1">
      <alignment horizontal="center"/>
    </xf>
    <xf numFmtId="0" fontId="1" fillId="0" borderId="44" xfId="0" applyFont="1" applyBorder="1" applyAlignment="1">
      <alignment horizontal="center"/>
    </xf>
    <xf numFmtId="0" fontId="1" fillId="0" borderId="19" xfId="0" applyFont="1" applyBorder="1" applyAlignment="1">
      <alignment horizontal="center"/>
    </xf>
    <xf numFmtId="0" fontId="1" fillId="0" borderId="33" xfId="0" applyFont="1" applyBorder="1" applyAlignment="1">
      <alignment horizontal="center"/>
    </xf>
    <xf numFmtId="14" fontId="0" fillId="0" borderId="1" xfId="0" applyNumberFormat="1" applyFont="1" applyBorder="1" applyAlignment="1">
      <alignment horizontal="center"/>
    </xf>
    <xf numFmtId="0" fontId="0" fillId="0" borderId="1" xfId="0" applyFont="1" applyBorder="1" applyAlignment="1">
      <alignment horizontal="center"/>
    </xf>
    <xf numFmtId="0" fontId="0" fillId="0" borderId="13" xfId="0" applyFont="1" applyBorder="1" applyAlignment="1">
      <alignment horizontal="left" wrapText="1"/>
    </xf>
    <xf numFmtId="0" fontId="0" fillId="0" borderId="69" xfId="0" applyFont="1" applyBorder="1" applyAlignment="1">
      <alignment horizontal="left" wrapText="1"/>
    </xf>
    <xf numFmtId="0" fontId="0" fillId="0" borderId="104" xfId="0" applyFont="1" applyBorder="1" applyAlignment="1">
      <alignment horizontal="left" wrapText="1"/>
    </xf>
    <xf numFmtId="0" fontId="0" fillId="0" borderId="50" xfId="0" applyFont="1" applyBorder="1" applyAlignment="1">
      <alignment horizontal="center"/>
    </xf>
    <xf numFmtId="14" fontId="0" fillId="0" borderId="1" xfId="0" quotePrefix="1" applyNumberFormat="1" applyFont="1" applyBorder="1" applyAlignment="1">
      <alignment horizontal="center"/>
    </xf>
    <xf numFmtId="0" fontId="0" fillId="0" borderId="36" xfId="0" applyFont="1" applyBorder="1" applyAlignment="1">
      <alignment horizontal="center"/>
    </xf>
    <xf numFmtId="0" fontId="0" fillId="0" borderId="45" xfId="0" applyFont="1" applyBorder="1" applyAlignment="1">
      <alignment horizontal="center"/>
    </xf>
    <xf numFmtId="0" fontId="0" fillId="0" borderId="23" xfId="0" applyFont="1" applyBorder="1" applyAlignment="1">
      <alignment horizontal="center"/>
    </xf>
    <xf numFmtId="14" fontId="0" fillId="0" borderId="23" xfId="0" applyNumberFormat="1" applyFont="1" applyBorder="1" applyAlignment="1">
      <alignment horizontal="center"/>
    </xf>
    <xf numFmtId="14" fontId="0" fillId="0" borderId="38" xfId="0" applyNumberFormat="1" applyFont="1" applyBorder="1" applyAlignment="1">
      <alignment horizontal="center"/>
    </xf>
    <xf numFmtId="0" fontId="0" fillId="0" borderId="1" xfId="0" applyFont="1" applyBorder="1" applyAlignment="1">
      <alignment wrapText="1"/>
    </xf>
    <xf numFmtId="0" fontId="0" fillId="0" borderId="36" xfId="0" applyFont="1" applyBorder="1" applyAlignment="1">
      <alignment wrapText="1"/>
    </xf>
    <xf numFmtId="0" fontId="0" fillId="0" borderId="1" xfId="0" applyFont="1" applyBorder="1" applyAlignment="1">
      <alignment horizontal="left" wrapText="1"/>
    </xf>
    <xf numFmtId="0" fontId="0" fillId="0" borderId="36" xfId="0" applyFont="1" applyBorder="1" applyAlignment="1">
      <alignment horizontal="left" wrapText="1"/>
    </xf>
    <xf numFmtId="49" fontId="0" fillId="0" borderId="50" xfId="0" applyNumberFormat="1" applyBorder="1" applyAlignment="1">
      <alignment horizontal="center"/>
    </xf>
    <xf numFmtId="49" fontId="0" fillId="0" borderId="1" xfId="0" applyNumberFormat="1" applyBorder="1" applyAlignment="1">
      <alignment horizontal="center"/>
    </xf>
    <xf numFmtId="49" fontId="0" fillId="0" borderId="36" xfId="0" applyNumberFormat="1" applyBorder="1" applyAlignment="1">
      <alignment horizontal="center"/>
    </xf>
    <xf numFmtId="49" fontId="0" fillId="0" borderId="1" xfId="0" applyNumberFormat="1" applyFont="1" applyBorder="1" applyAlignment="1">
      <alignment horizontal="center"/>
    </xf>
    <xf numFmtId="0" fontId="0" fillId="0" borderId="1" xfId="0" quotePrefix="1" applyFont="1" applyBorder="1" applyAlignment="1">
      <alignment horizontal="left" wrapText="1"/>
    </xf>
    <xf numFmtId="49" fontId="0" fillId="0" borderId="50" xfId="0" applyNumberFormat="1" applyFont="1" applyBorder="1" applyAlignment="1">
      <alignment horizontal="center"/>
    </xf>
    <xf numFmtId="49" fontId="0" fillId="0" borderId="1" xfId="0" quotePrefix="1" applyNumberFormat="1" applyFont="1" applyBorder="1" applyAlignment="1">
      <alignment horizontal="center"/>
    </xf>
    <xf numFmtId="49" fontId="0" fillId="0" borderId="36" xfId="0" applyNumberFormat="1" applyFont="1" applyBorder="1" applyAlignment="1">
      <alignment horizontal="center"/>
    </xf>
    <xf numFmtId="0" fontId="0" fillId="0" borderId="45" xfId="0" applyBorder="1" applyAlignment="1"/>
    <xf numFmtId="0" fontId="0" fillId="0" borderId="23" xfId="0" applyBorder="1" applyAlignment="1"/>
    <xf numFmtId="0" fontId="0" fillId="0" borderId="23" xfId="0" applyBorder="1" applyAlignment="1">
      <alignment horizontal="center"/>
    </xf>
    <xf numFmtId="49" fontId="0" fillId="0" borderId="23" xfId="0" applyNumberFormat="1" applyBorder="1" applyAlignment="1">
      <alignment horizontal="center"/>
    </xf>
    <xf numFmtId="49" fontId="0" fillId="0" borderId="38" xfId="0" applyNumberFormat="1" applyBorder="1" applyAlignment="1">
      <alignment horizontal="center"/>
    </xf>
    <xf numFmtId="0" fontId="0" fillId="0" borderId="50" xfId="0" applyBorder="1" applyAlignment="1"/>
    <xf numFmtId="0" fontId="0" fillId="0" borderId="1" xfId="0" applyBorder="1" applyAlignment="1"/>
    <xf numFmtId="49" fontId="0" fillId="0" borderId="1" xfId="0" applyNumberFormat="1" applyBorder="1" applyAlignment="1"/>
    <xf numFmtId="49" fontId="0" fillId="0" borderId="36" xfId="0" applyNumberFormat="1" applyBorder="1" applyAlignment="1"/>
    <xf numFmtId="49" fontId="1" fillId="0" borderId="19" xfId="0" applyNumberFormat="1" applyFont="1" applyBorder="1" applyAlignment="1">
      <alignment horizontal="center"/>
    </xf>
    <xf numFmtId="49" fontId="1" fillId="0" borderId="33" xfId="0" applyNumberFormat="1" applyFont="1" applyBorder="1" applyAlignment="1">
      <alignment horizontal="center"/>
    </xf>
    <xf numFmtId="49" fontId="0" fillId="0" borderId="45" xfId="0" applyNumberFormat="1" applyBorder="1" applyAlignment="1">
      <alignment horizontal="center" vertical="center"/>
    </xf>
    <xf numFmtId="49" fontId="0" fillId="0" borderId="23" xfId="0" applyNumberFormat="1" applyBorder="1" applyAlignment="1">
      <alignment horizontal="center" vertical="center"/>
    </xf>
    <xf numFmtId="49" fontId="0" fillId="0" borderId="23" xfId="0" quotePrefix="1" applyNumberFormat="1" applyBorder="1" applyAlignment="1">
      <alignment horizontal="center" vertical="center"/>
    </xf>
    <xf numFmtId="49" fontId="0" fillId="0" borderId="38" xfId="0" applyNumberFormat="1" applyBorder="1" applyAlignment="1">
      <alignment horizontal="center" vertical="center"/>
    </xf>
    <xf numFmtId="0" fontId="38"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3" xfId="0" applyFont="1" applyBorder="1" applyAlignment="1">
      <alignment wrapText="1"/>
    </xf>
    <xf numFmtId="0" fontId="0" fillId="0" borderId="38" xfId="0" applyFont="1" applyBorder="1" applyAlignment="1">
      <alignment wrapText="1"/>
    </xf>
    <xf numFmtId="0" fontId="0" fillId="0" borderId="0" xfId="0" applyBorder="1" applyAlignment="1">
      <alignment horizontal="center"/>
    </xf>
    <xf numFmtId="0" fontId="1" fillId="10" borderId="71" xfId="0" applyNumberFormat="1" applyFont="1" applyFill="1" applyBorder="1" applyAlignment="1">
      <alignment horizontal="center" vertical="center" wrapText="1"/>
    </xf>
    <xf numFmtId="0" fontId="1" fillId="10" borderId="85" xfId="0" applyNumberFormat="1" applyFont="1" applyFill="1" applyBorder="1" applyAlignment="1">
      <alignment horizontal="center" vertical="center" wrapText="1"/>
    </xf>
    <xf numFmtId="49" fontId="1" fillId="10" borderId="71" xfId="0" applyNumberFormat="1" applyFont="1" applyFill="1" applyBorder="1" applyAlignment="1">
      <alignment horizontal="center" vertical="center" wrapText="1"/>
    </xf>
    <xf numFmtId="49" fontId="1" fillId="10" borderId="85" xfId="0" applyNumberFormat="1"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1" fillId="10" borderId="17" xfId="0" applyNumberFormat="1" applyFont="1" applyFill="1" applyBorder="1" applyAlignment="1">
      <alignment horizontal="center" vertical="center" wrapText="1"/>
    </xf>
    <xf numFmtId="0" fontId="1" fillId="10" borderId="26" xfId="0" applyNumberFormat="1" applyFont="1" applyFill="1" applyBorder="1" applyAlignment="1">
      <alignment horizontal="center" vertical="center" wrapText="1"/>
    </xf>
    <xf numFmtId="0" fontId="0" fillId="0" borderId="59" xfId="0" applyBorder="1" applyAlignment="1">
      <alignment horizontal="center" vertical="center" wrapText="1"/>
    </xf>
    <xf numFmtId="0" fontId="0" fillId="0" borderId="50" xfId="0" applyBorder="1" applyAlignment="1">
      <alignment horizontal="center" vertical="center" wrapText="1"/>
    </xf>
    <xf numFmtId="0" fontId="0" fillId="0" borderId="68" xfId="0"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45" xfId="0" applyBorder="1" applyAlignment="1">
      <alignment horizontal="center" vertical="center" wrapText="1"/>
    </xf>
    <xf numFmtId="0" fontId="1" fillId="10" borderId="66" xfId="0" applyFont="1" applyFill="1" applyBorder="1" applyAlignment="1">
      <alignment horizontal="center" vertical="center" wrapText="1"/>
    </xf>
    <xf numFmtId="0" fontId="1" fillId="10" borderId="60" xfId="0" applyFont="1" applyFill="1" applyBorder="1" applyAlignment="1">
      <alignment horizontal="center" vertical="center" wrapText="1"/>
    </xf>
    <xf numFmtId="0" fontId="1" fillId="5" borderId="71" xfId="0" applyFont="1" applyFill="1" applyBorder="1" applyAlignment="1">
      <alignment horizontal="center" wrapText="1"/>
    </xf>
    <xf numFmtId="0" fontId="1" fillId="5" borderId="85" xfId="0" applyFont="1" applyFill="1" applyBorder="1" applyAlignment="1">
      <alignment horizontal="center" wrapText="1"/>
    </xf>
    <xf numFmtId="0" fontId="1" fillId="5" borderId="71" xfId="0" applyNumberFormat="1" applyFont="1" applyFill="1" applyBorder="1" applyAlignment="1">
      <alignment horizontal="center" vertical="center" wrapText="1"/>
    </xf>
    <xf numFmtId="0" fontId="1" fillId="5" borderId="85" xfId="0" applyNumberFormat="1" applyFont="1" applyFill="1" applyBorder="1" applyAlignment="1">
      <alignment horizontal="center" vertical="center" wrapText="1"/>
    </xf>
    <xf numFmtId="0" fontId="45" fillId="5" borderId="66" xfId="0" applyFont="1" applyFill="1" applyBorder="1" applyAlignment="1">
      <alignment horizontal="center" vertical="center" textRotation="90" wrapText="1"/>
    </xf>
    <xf numFmtId="0" fontId="45" fillId="5" borderId="49" xfId="0" applyFont="1" applyFill="1" applyBorder="1" applyAlignment="1">
      <alignment horizontal="center" vertical="center" textRotation="90" wrapText="1"/>
    </xf>
    <xf numFmtId="0" fontId="45" fillId="5" borderId="64" xfId="0" applyFont="1" applyFill="1" applyBorder="1" applyAlignment="1">
      <alignment horizontal="center" vertical="center" textRotation="90" wrapText="1"/>
    </xf>
    <xf numFmtId="0" fontId="45" fillId="11" borderId="66" xfId="0" applyFont="1" applyFill="1" applyBorder="1" applyAlignment="1">
      <alignment horizontal="center" vertical="center" textRotation="90" wrapText="1"/>
    </xf>
    <xf numFmtId="0" fontId="45" fillId="11" borderId="49" xfId="0" applyFont="1" applyFill="1" applyBorder="1" applyAlignment="1">
      <alignment horizontal="center" vertical="center" textRotation="90" wrapText="1"/>
    </xf>
    <xf numFmtId="0" fontId="45" fillId="11" borderId="64" xfId="0" applyFont="1" applyFill="1" applyBorder="1" applyAlignment="1">
      <alignment horizontal="center" vertical="center" textRotation="90" wrapText="1"/>
    </xf>
    <xf numFmtId="0" fontId="45" fillId="7" borderId="66" xfId="0" applyFont="1" applyFill="1" applyBorder="1" applyAlignment="1">
      <alignment horizontal="center" vertical="center" textRotation="90" wrapText="1"/>
    </xf>
    <xf numFmtId="0" fontId="45" fillId="7" borderId="49" xfId="0" applyFont="1" applyFill="1" applyBorder="1" applyAlignment="1">
      <alignment horizontal="center" vertical="center" textRotation="90" wrapText="1"/>
    </xf>
    <xf numFmtId="0" fontId="45" fillId="7" borderId="64" xfId="0" applyFont="1" applyFill="1" applyBorder="1" applyAlignment="1">
      <alignment horizontal="center" vertical="center" textRotation="90" wrapText="1"/>
    </xf>
    <xf numFmtId="0" fontId="0" fillId="0" borderId="34" xfId="0" applyBorder="1" applyAlignment="1">
      <alignment horizontal="center" vertical="center" wrapText="1"/>
    </xf>
    <xf numFmtId="0" fontId="0" fillId="0" borderId="42" xfId="0" applyBorder="1" applyAlignment="1">
      <alignment horizontal="center" vertical="center" wrapText="1"/>
    </xf>
    <xf numFmtId="0" fontId="29" fillId="0" borderId="32"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1" fillId="10" borderId="109" xfId="0" applyFont="1" applyFill="1" applyBorder="1" applyAlignment="1">
      <alignment horizontal="center" vertical="center" wrapText="1"/>
    </xf>
    <xf numFmtId="0" fontId="1" fillId="10" borderId="110" xfId="0" applyFont="1" applyFill="1" applyBorder="1" applyAlignment="1">
      <alignment horizontal="center" vertical="center" wrapText="1"/>
    </xf>
    <xf numFmtId="0" fontId="1" fillId="10" borderId="11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2" xfId="0" applyFont="1" applyFill="1" applyBorder="1" applyAlignment="1">
      <alignment horizontal="center" vertical="center"/>
    </xf>
    <xf numFmtId="1" fontId="2" fillId="0" borderId="2" xfId="2" applyNumberFormat="1" applyFont="1" applyFill="1" applyBorder="1" applyAlignment="1">
      <alignment horizontal="left" vertical="center" wrapText="1"/>
    </xf>
    <xf numFmtId="1" fontId="2" fillId="0" borderId="3" xfId="2" applyNumberFormat="1"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4" xfId="0" applyFont="1" applyFill="1" applyBorder="1" applyAlignment="1">
      <alignment horizontal="left" vertical="center"/>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20" xfId="0" applyFont="1" applyFill="1" applyBorder="1" applyAlignment="1">
      <alignment horizontal="left" vertical="center"/>
    </xf>
    <xf numFmtId="0" fontId="0" fillId="0" borderId="22" xfId="0" applyFont="1" applyFill="1" applyBorder="1" applyAlignment="1">
      <alignment horizontal="left" vertical="center"/>
    </xf>
    <xf numFmtId="0" fontId="0" fillId="0" borderId="2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Font="1" applyFill="1" applyBorder="1" applyAlignment="1">
      <alignment horizontal="left" vertical="center" wrapText="1"/>
    </xf>
    <xf numFmtId="164" fontId="0" fillId="0" borderId="2" xfId="1" applyFont="1" applyFill="1" applyBorder="1" applyAlignment="1">
      <alignment horizontal="left" vertical="center" wrapText="1"/>
    </xf>
    <xf numFmtId="164" fontId="0" fillId="0" borderId="4" xfId="1" applyFont="1" applyFill="1" applyBorder="1" applyAlignment="1">
      <alignment horizontal="left" vertical="center" wrapText="1"/>
    </xf>
    <xf numFmtId="164" fontId="0" fillId="0" borderId="3" xfId="1" applyFont="1" applyFill="1" applyBorder="1" applyAlignment="1">
      <alignment horizontal="left" vertical="center" wrapText="1"/>
    </xf>
    <xf numFmtId="0" fontId="0" fillId="0" borderId="1" xfId="0" applyFont="1" applyFill="1" applyBorder="1" applyAlignment="1">
      <alignment horizontal="left" vertical="center" wrapText="1"/>
    </xf>
    <xf numFmtId="164" fontId="2" fillId="0" borderId="2" xfId="2" applyFont="1" applyFill="1" applyBorder="1" applyAlignment="1">
      <alignment horizontal="left" vertical="center" wrapText="1"/>
    </xf>
    <xf numFmtId="164" fontId="2" fillId="0" borderId="4" xfId="2" applyFont="1" applyFill="1" applyBorder="1" applyAlignment="1">
      <alignment horizontal="left" vertical="center" wrapText="1"/>
    </xf>
    <xf numFmtId="164" fontId="2" fillId="0" borderId="3" xfId="2" applyFont="1" applyFill="1" applyBorder="1" applyAlignment="1">
      <alignment horizontal="left" vertical="center" wrapText="1"/>
    </xf>
    <xf numFmtId="0" fontId="1" fillId="47" borderId="62" xfId="0" applyFont="1" applyFill="1" applyBorder="1" applyAlignment="1">
      <alignment horizontal="center" vertical="center"/>
    </xf>
    <xf numFmtId="0" fontId="1" fillId="47" borderId="69" xfId="0" applyFont="1" applyFill="1" applyBorder="1" applyAlignment="1">
      <alignment horizontal="center" vertical="center"/>
    </xf>
    <xf numFmtId="0" fontId="1" fillId="13" borderId="50"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36" xfId="0" applyFont="1" applyFill="1" applyBorder="1" applyAlignment="1">
      <alignment horizontal="center" vertical="center"/>
    </xf>
    <xf numFmtId="0" fontId="1" fillId="7" borderId="62" xfId="0" applyFont="1" applyFill="1" applyBorder="1" applyAlignment="1">
      <alignment horizontal="center" vertical="center"/>
    </xf>
    <xf numFmtId="0" fontId="1" fillId="7" borderId="69" xfId="0" applyFont="1" applyFill="1" applyBorder="1" applyAlignment="1">
      <alignment horizontal="center" vertical="center"/>
    </xf>
    <xf numFmtId="0" fontId="1" fillId="7" borderId="104"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69" xfId="0" applyFont="1" applyFill="1" applyBorder="1" applyAlignment="1">
      <alignment horizontal="center" vertical="center"/>
    </xf>
    <xf numFmtId="0" fontId="1" fillId="5" borderId="104" xfId="0" applyFont="1" applyFill="1" applyBorder="1" applyAlignment="1">
      <alignment horizontal="center" vertical="center"/>
    </xf>
    <xf numFmtId="0" fontId="1" fillId="49" borderId="50" xfId="0" applyFont="1" applyFill="1" applyBorder="1" applyAlignment="1">
      <alignment horizontal="center" vertical="center"/>
    </xf>
    <xf numFmtId="0" fontId="1" fillId="49" borderId="1" xfId="0" applyFont="1" applyFill="1" applyBorder="1" applyAlignment="1">
      <alignment horizontal="center" vertical="center"/>
    </xf>
    <xf numFmtId="0" fontId="1" fillId="49" borderId="36"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11" xfId="0" applyFont="1" applyFill="1" applyBorder="1" applyAlignment="1">
      <alignment horizontal="center" vertical="center"/>
    </xf>
    <xf numFmtId="0" fontId="1" fillId="4" borderId="62" xfId="0" applyFont="1" applyFill="1" applyBorder="1" applyAlignment="1">
      <alignment horizontal="center" vertical="center"/>
    </xf>
    <xf numFmtId="0" fontId="1" fillId="4" borderId="69" xfId="0" applyFont="1" applyFill="1" applyBorder="1" applyAlignment="1">
      <alignment horizontal="center" vertical="center"/>
    </xf>
    <xf numFmtId="0" fontId="1" fillId="4" borderId="104" xfId="0" applyFont="1" applyFill="1" applyBorder="1" applyAlignment="1">
      <alignment horizontal="center" vertical="center"/>
    </xf>
    <xf numFmtId="0" fontId="1" fillId="14" borderId="109" xfId="0" applyFont="1" applyFill="1" applyBorder="1" applyAlignment="1">
      <alignment horizontal="center" vertical="center"/>
    </xf>
    <xf numFmtId="0" fontId="1" fillId="14" borderId="110" xfId="0" applyFont="1" applyFill="1" applyBorder="1" applyAlignment="1">
      <alignment horizontal="center" vertical="center"/>
    </xf>
    <xf numFmtId="0" fontId="1" fillId="14" borderId="114" xfId="0" applyFont="1" applyFill="1" applyBorder="1" applyAlignment="1">
      <alignment horizontal="center" vertical="center"/>
    </xf>
    <xf numFmtId="0" fontId="1" fillId="58" borderId="109" xfId="0" applyFont="1" applyFill="1" applyBorder="1" applyAlignment="1">
      <alignment horizontal="center" vertical="center"/>
    </xf>
    <xf numFmtId="0" fontId="1" fillId="58" borderId="110" xfId="0" applyFont="1" applyFill="1" applyBorder="1" applyAlignment="1">
      <alignment horizontal="center" vertical="center"/>
    </xf>
    <xf numFmtId="0" fontId="1" fillId="61" borderId="109" xfId="0" applyFont="1" applyFill="1" applyBorder="1" applyAlignment="1">
      <alignment horizontal="center" vertical="center"/>
    </xf>
    <xf numFmtId="0" fontId="1" fillId="61" borderId="110" xfId="0" applyFont="1" applyFill="1" applyBorder="1" applyAlignment="1">
      <alignment horizontal="center" vertical="center"/>
    </xf>
    <xf numFmtId="0" fontId="1" fillId="61" borderId="114" xfId="0" applyFont="1" applyFill="1" applyBorder="1" applyAlignment="1">
      <alignment horizontal="center" vertical="center"/>
    </xf>
    <xf numFmtId="0" fontId="1" fillId="5" borderId="111" xfId="0" applyFont="1" applyFill="1" applyBorder="1" applyAlignment="1">
      <alignment horizontal="center" vertical="center"/>
    </xf>
    <xf numFmtId="0" fontId="1" fillId="0" borderId="50" xfId="0" applyFont="1" applyBorder="1" applyAlignment="1">
      <alignment horizontal="center" vertical="center"/>
    </xf>
    <xf numFmtId="0" fontId="1" fillId="0" borderId="1" xfId="0" applyFont="1" applyBorder="1" applyAlignment="1">
      <alignment horizontal="center" vertical="center"/>
    </xf>
    <xf numFmtId="0" fontId="1" fillId="0" borderId="36" xfId="0" applyFont="1" applyBorder="1" applyAlignment="1">
      <alignment horizontal="center" vertical="center"/>
    </xf>
    <xf numFmtId="0" fontId="1" fillId="57" borderId="50" xfId="0" applyFont="1" applyFill="1" applyBorder="1" applyAlignment="1">
      <alignment horizontal="center" vertical="center"/>
    </xf>
    <xf numFmtId="0" fontId="1" fillId="57" borderId="1" xfId="0" applyFont="1" applyFill="1" applyBorder="1" applyAlignment="1">
      <alignment horizontal="center" vertical="center"/>
    </xf>
    <xf numFmtId="0" fontId="1" fillId="57" borderId="36" xfId="0" applyFont="1" applyFill="1" applyBorder="1" applyAlignment="1">
      <alignment horizontal="center" vertical="center"/>
    </xf>
    <xf numFmtId="0" fontId="1" fillId="60" borderId="15" xfId="0" applyFont="1" applyFill="1" applyBorder="1" applyAlignment="1">
      <alignment horizontal="center" vertical="center"/>
    </xf>
    <xf numFmtId="0" fontId="1" fillId="60" borderId="1" xfId="0" applyFont="1" applyFill="1" applyBorder="1" applyAlignment="1">
      <alignment horizontal="center" vertical="center"/>
    </xf>
    <xf numFmtId="0" fontId="1" fillId="60" borderId="13" xfId="0" applyFont="1" applyFill="1" applyBorder="1" applyAlignment="1">
      <alignment horizontal="center" vertical="center"/>
    </xf>
    <xf numFmtId="0" fontId="1" fillId="0" borderId="5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11" borderId="62" xfId="0" applyFont="1" applyFill="1" applyBorder="1" applyAlignment="1">
      <alignment horizontal="center" vertical="center"/>
    </xf>
    <xf numFmtId="0" fontId="1" fillId="11" borderId="69" xfId="0" applyFont="1" applyFill="1" applyBorder="1" applyAlignment="1">
      <alignment horizontal="center" vertical="center"/>
    </xf>
    <xf numFmtId="0" fontId="1" fillId="0" borderId="62" xfId="0" applyFont="1" applyBorder="1" applyAlignment="1">
      <alignment horizontal="center" vertical="center"/>
    </xf>
    <xf numFmtId="0" fontId="1" fillId="0" borderId="69" xfId="0" applyFont="1" applyBorder="1" applyAlignment="1">
      <alignment horizontal="center" vertical="center"/>
    </xf>
    <xf numFmtId="0" fontId="1" fillId="0" borderId="104" xfId="0" applyFont="1" applyBorder="1" applyAlignment="1">
      <alignment horizontal="center" vertical="center"/>
    </xf>
    <xf numFmtId="0" fontId="1" fillId="59" borderId="50" xfId="0" applyFont="1" applyFill="1" applyBorder="1" applyAlignment="1">
      <alignment horizontal="center" vertical="center" wrapText="1"/>
    </xf>
    <xf numFmtId="0" fontId="1" fillId="59" borderId="1" xfId="0" applyFont="1" applyFill="1" applyBorder="1" applyAlignment="1">
      <alignment horizontal="center" vertical="center" wrapText="1"/>
    </xf>
    <xf numFmtId="0" fontId="1" fillId="59" borderId="36" xfId="0" applyFont="1" applyFill="1" applyBorder="1" applyAlignment="1">
      <alignment horizontal="center" vertical="center" wrapText="1"/>
    </xf>
    <xf numFmtId="0" fontId="1" fillId="55" borderId="50" xfId="0" applyFont="1" applyFill="1" applyBorder="1" applyAlignment="1">
      <alignment horizontal="center" vertical="center" wrapText="1"/>
    </xf>
    <xf numFmtId="0" fontId="1" fillId="55" borderId="1" xfId="0" applyFont="1" applyFill="1" applyBorder="1" applyAlignment="1">
      <alignment horizontal="center" vertical="center" wrapText="1"/>
    </xf>
    <xf numFmtId="0" fontId="1" fillId="55" borderId="36" xfId="0" applyFont="1" applyFill="1" applyBorder="1" applyAlignment="1">
      <alignment horizontal="center" vertical="center" wrapText="1"/>
    </xf>
    <xf numFmtId="0" fontId="1" fillId="56" borderId="62" xfId="0" applyFont="1" applyFill="1" applyBorder="1" applyAlignment="1">
      <alignment horizontal="center" vertical="center"/>
    </xf>
    <xf numFmtId="0" fontId="1" fillId="56" borderId="69" xfId="0" applyFont="1" applyFill="1" applyBorder="1" applyAlignment="1">
      <alignment horizontal="center" vertical="center"/>
    </xf>
    <xf numFmtId="0" fontId="1" fillId="56" borderId="104"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69" xfId="0" applyFont="1" applyFill="1" applyBorder="1" applyAlignment="1">
      <alignment horizontal="center" vertical="center"/>
    </xf>
    <xf numFmtId="0" fontId="1" fillId="3" borderId="104" xfId="0" applyFont="1" applyFill="1" applyBorder="1" applyAlignment="1">
      <alignment horizontal="center" vertical="center"/>
    </xf>
    <xf numFmtId="0" fontId="1" fillId="5" borderId="87"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0" fontId="0" fillId="0" borderId="20" xfId="0"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2" fillId="0" borderId="3" xfId="0" applyFont="1" applyFill="1" applyBorder="1" applyAlignment="1">
      <alignment horizontal="center" vertical="center" wrapText="1"/>
    </xf>
    <xf numFmtId="0" fontId="1" fillId="13" borderId="32" xfId="0" applyFont="1" applyFill="1" applyBorder="1" applyAlignment="1">
      <alignment horizontal="center" vertical="center" wrapText="1"/>
    </xf>
    <xf numFmtId="0" fontId="1" fillId="13" borderId="34" xfId="0" applyFont="1" applyFill="1" applyBorder="1" applyAlignment="1">
      <alignment horizontal="center" vertical="center" wrapText="1"/>
    </xf>
    <xf numFmtId="0" fontId="1" fillId="13" borderId="5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6" xfId="0" applyBorder="1" applyAlignment="1">
      <alignment horizontal="center" vertical="center" wrapText="1"/>
    </xf>
    <xf numFmtId="0" fontId="1" fillId="46" borderId="68" xfId="0" applyFont="1" applyFill="1" applyBorder="1" applyAlignment="1">
      <alignment horizontal="center" vertical="center" wrapText="1"/>
    </xf>
    <xf numFmtId="0" fontId="1" fillId="46" borderId="4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54"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2" fillId="0" borderId="20" xfId="0" applyFont="1" applyFill="1" applyBorder="1" applyAlignment="1">
      <alignment horizontal="center" vertical="center" wrapText="1"/>
    </xf>
    <xf numFmtId="0" fontId="0" fillId="0" borderId="4" xfId="0" applyFont="1" applyBorder="1" applyAlignment="1">
      <alignment horizontal="center" vertical="center" wrapText="1"/>
    </xf>
    <xf numFmtId="0" fontId="1" fillId="2" borderId="87" xfId="0" applyFont="1" applyFill="1" applyBorder="1" applyAlignment="1">
      <alignment horizontal="center" vertical="center" wrapText="1"/>
    </xf>
    <xf numFmtId="0" fontId="1" fillId="2" borderId="34" xfId="0" applyFont="1" applyFill="1" applyBorder="1" applyAlignment="1">
      <alignment horizontal="center" vertical="center" wrapText="1"/>
    </xf>
    <xf numFmtId="49" fontId="1" fillId="10" borderId="16" xfId="0" applyNumberFormat="1" applyFont="1" applyFill="1" applyBorder="1" applyAlignment="1">
      <alignment horizontal="center" vertical="center" wrapText="1"/>
    </xf>
    <xf numFmtId="49" fontId="1" fillId="10" borderId="20"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49" fontId="1" fillId="10" borderId="66" xfId="0" applyNumberFormat="1" applyFont="1" applyFill="1" applyBorder="1" applyAlignment="1">
      <alignment horizontal="center" vertical="center" wrapText="1"/>
    </xf>
    <xf numFmtId="49" fontId="1" fillId="10" borderId="60"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0" xfId="0" applyFill="1" applyBorder="1" applyAlignment="1">
      <alignment horizontal="center" vertical="center" wrapText="1"/>
    </xf>
    <xf numFmtId="0" fontId="1" fillId="5" borderId="3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2" xfId="0" applyFont="1" applyFill="1" applyBorder="1" applyAlignment="1">
      <alignment horizontal="center" vertical="center" wrapText="1"/>
    </xf>
    <xf numFmtId="49" fontId="1" fillId="10" borderId="123" xfId="0" applyNumberFormat="1" applyFont="1" applyFill="1" applyBorder="1" applyAlignment="1">
      <alignment horizontal="center" vertical="center" wrapText="1"/>
    </xf>
    <xf numFmtId="49" fontId="1" fillId="10" borderId="39" xfId="0" applyNumberFormat="1" applyFont="1" applyFill="1" applyBorder="1" applyAlignment="1">
      <alignment horizontal="center" vertical="center" wrapText="1"/>
    </xf>
    <xf numFmtId="49" fontId="1" fillId="10" borderId="124" xfId="0" applyNumberFormat="1" applyFont="1" applyFill="1" applyBorder="1" applyAlignment="1">
      <alignment horizontal="center" vertical="center" wrapText="1"/>
    </xf>
    <xf numFmtId="49" fontId="1" fillId="10" borderId="91" xfId="0" applyNumberFormat="1"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0" borderId="25" xfId="0" applyBorder="1" applyAlignment="1">
      <alignment horizontal="center" vertical="center" wrapText="1"/>
    </xf>
  </cellXfs>
  <cellStyles count="81">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5" builtinId="27" customBuiltin="1"/>
    <cellStyle name="Calculation" xfId="15" builtinId="22" customBuiltin="1"/>
    <cellStyle name="Check Cell" xfId="17" builtinId="23" customBuiltin="1"/>
    <cellStyle name="Explanatory Text" xfId="20" builtinId="53" customBuiltin="1"/>
    <cellStyle name="Good" xfId="11" builtinId="26" customBuiltin="1"/>
    <cellStyle name="grey" xfId="62"/>
    <cellStyle name="Heading 1" xfId="7" builtinId="16" customBuiltin="1"/>
    <cellStyle name="Heading 2" xfId="8" builtinId="17" customBuiltin="1"/>
    <cellStyle name="Heading 3" xfId="9" builtinId="18" customBuiltin="1"/>
    <cellStyle name="Heading 4" xfId="10" builtinId="19" customBuiltin="1"/>
    <cellStyle name="Hyperlink" xfId="55" builtinId="8"/>
    <cellStyle name="Hyperlink 2" xfId="56"/>
    <cellStyle name="Hyperlink 3" xfId="61"/>
    <cellStyle name="Input" xfId="13" builtinId="20" customBuiltin="1"/>
    <cellStyle name="left" xfId="63"/>
    <cellStyle name="Linked Cell" xfId="16" builtinId="24" customBuiltin="1"/>
    <cellStyle name="Neutral" xfId="12" builtinId="28" customBuiltin="1"/>
    <cellStyle name="new" xfId="64"/>
    <cellStyle name="new2" xfId="65"/>
    <cellStyle name="new3" xfId="66"/>
    <cellStyle name="Normal" xfId="0" builtinId="0"/>
    <cellStyle name="Normal 10" xfId="46"/>
    <cellStyle name="Normal 2" xfId="3"/>
    <cellStyle name="Normal 2 2" xfId="4"/>
    <cellStyle name="Normal 2 2 2" xfId="77"/>
    <cellStyle name="Normal 2 2 3" xfId="57"/>
    <cellStyle name="Normal 2 3" xfId="47"/>
    <cellStyle name="Normal 2 3 2" xfId="58"/>
    <cellStyle name="Normal 2 4" xfId="72"/>
    <cellStyle name="Normal 2 4 2" xfId="79"/>
    <cellStyle name="Normal 3" xfId="1"/>
    <cellStyle name="Normal 3 2" xfId="60"/>
    <cellStyle name="Normal 3 2 2" xfId="78"/>
    <cellStyle name="Normal 3 3" xfId="73"/>
    <cellStyle name="Normal 3 4" xfId="59"/>
    <cellStyle name="Normal 4" xfId="48"/>
    <cellStyle name="Normal 4 2" xfId="2"/>
    <cellStyle name="Normal 4 3" xfId="74"/>
    <cellStyle name="Normal 5" xfId="49"/>
    <cellStyle name="Normal 6" xfId="50"/>
    <cellStyle name="Normal 7" xfId="51"/>
    <cellStyle name="Normal 8" xfId="52"/>
    <cellStyle name="Normal 8 2" xfId="53"/>
    <cellStyle name="Normal 9" xfId="54"/>
    <cellStyle name="Normal_site_codes" xfId="75"/>
    <cellStyle name="Normal_site_codes_1" xfId="76"/>
    <cellStyle name="Note" xfId="19" builtinId="10" customBuiltin="1"/>
    <cellStyle name="Output" xfId="14" builtinId="21" customBuiltin="1"/>
    <cellStyle name="Percent" xfId="80" builtinId="5"/>
    <cellStyle name="right" xfId="67"/>
    <cellStyle name="Style 1" xfId="68"/>
    <cellStyle name="Style 2" xfId="69"/>
    <cellStyle name="Style 2 2" xfId="71"/>
    <cellStyle name="Style 3" xfId="70"/>
    <cellStyle name="Title" xfId="6" builtinId="15" customBuiltin="1"/>
    <cellStyle name="Total" xfId="21" builtinId="25" customBuiltin="1"/>
    <cellStyle name="Warning Text" xfId="18" builtinId="11" customBuiltin="1"/>
  </cellStyles>
  <dxfs count="140">
    <dxf>
      <fill>
        <patternFill>
          <bgColor rgb="FFFFFF00"/>
        </patternFill>
      </fill>
    </dxf>
    <dxf>
      <font>
        <color theme="0"/>
      </font>
      <fill>
        <patternFill>
          <bgColor rgb="FFFF00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theme="0" tint="-0.499984740745262"/>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rgb="FF92D050"/>
        </patternFill>
      </fill>
    </dxf>
    <dxf>
      <fill>
        <patternFill>
          <bgColor rgb="FF92D050"/>
        </patternFill>
      </fill>
    </dxf>
    <dxf>
      <fill>
        <patternFill>
          <bgColor theme="0" tint="-0.499984740745262"/>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ont>
        <color theme="0"/>
      </font>
      <fill>
        <patternFill>
          <bgColor rgb="FFFF0000"/>
        </patternFill>
      </fill>
    </dxf>
    <dxf>
      <font>
        <color theme="0"/>
      </font>
      <fill>
        <patternFill>
          <bgColor rgb="FFFF0000"/>
        </patternFill>
      </fill>
    </dxf>
    <dxf>
      <font>
        <color auto="1"/>
      </font>
      <fill>
        <patternFill>
          <bgColor theme="7" tint="0.39994506668294322"/>
        </patternFill>
      </fill>
    </dxf>
    <dxf>
      <font>
        <color theme="1"/>
      </font>
      <fill>
        <patternFill>
          <bgColor rgb="FFB1A0C7"/>
        </patternFill>
      </fill>
    </dxf>
    <dxf>
      <font>
        <color theme="0" tint="-0.499984740745262"/>
      </font>
      <fill>
        <patternFill>
          <bgColor theme="0" tint="-0.499984740745262"/>
        </patternFill>
      </fill>
    </dxf>
    <dxf>
      <fill>
        <patternFill>
          <bgColor rgb="FFFFFF00"/>
        </patternFill>
      </fill>
    </dxf>
    <dxf>
      <font>
        <color theme="0"/>
      </font>
      <fill>
        <patternFill>
          <bgColor rgb="FFFF0000"/>
        </patternFill>
      </fill>
    </dxf>
    <dxf>
      <fill>
        <patternFill>
          <bgColor theme="0" tint="-0.499984740745262"/>
        </patternFill>
      </fill>
    </dxf>
    <dxf>
      <font>
        <color theme="1"/>
      </font>
      <fill>
        <patternFill>
          <bgColor rgb="FFB1A0C7"/>
        </patternFill>
      </fill>
    </dxf>
    <dxf>
      <fill>
        <patternFill>
          <bgColor theme="0" tint="-0.499984740745262"/>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ont>
        <b/>
        <i val="0"/>
        <color theme="0"/>
      </font>
      <fill>
        <patternFill>
          <bgColor rgb="FFFF0000"/>
        </patternFill>
      </fill>
    </dxf>
    <dxf>
      <fill>
        <patternFill>
          <bgColor theme="9" tint="-0.24994659260841701"/>
        </patternFill>
      </fill>
    </dxf>
    <dxf>
      <fill>
        <patternFill>
          <bgColor theme="9" tint="0.39994506668294322"/>
        </patternFill>
      </fill>
    </dxf>
    <dxf>
      <fill>
        <patternFill>
          <bgColor theme="9" tint="0.59996337778862885"/>
        </patternFill>
      </fill>
    </dxf>
    <dxf>
      <fill>
        <patternFill>
          <bgColor theme="1" tint="0.499984740745262"/>
        </patternFill>
      </fill>
    </dxf>
    <dxf>
      <font>
        <b/>
        <i val="0"/>
        <color rgb="FFFF0000"/>
      </font>
    </dxf>
    <dxf>
      <font>
        <b val="0"/>
        <i val="0"/>
        <u/>
        <color theme="7" tint="-0.24994659260841701"/>
      </font>
    </dxf>
    <dxf>
      <font>
        <b val="0"/>
        <i/>
        <u val="double"/>
        <color rgb="FF00B050"/>
      </font>
    </dxf>
    <dxf>
      <fill>
        <patternFill>
          <bgColor theme="8" tint="0.39994506668294322"/>
        </patternFill>
      </fill>
    </dxf>
    <dxf>
      <fill>
        <patternFill>
          <bgColor theme="0" tint="-0.499984740745262"/>
        </patternFill>
      </fill>
    </dxf>
    <dxf>
      <fill>
        <patternFill>
          <bgColor theme="1" tint="0.499984740745262"/>
        </patternFill>
      </fill>
    </dxf>
    <dxf>
      <font>
        <color theme="0"/>
      </font>
      <fill>
        <patternFill>
          <bgColor rgb="FFFF0000"/>
        </patternFill>
      </fill>
    </dxf>
    <dxf>
      <font>
        <b/>
        <i val="0"/>
        <color theme="0"/>
      </font>
      <fill>
        <patternFill>
          <bgColor rgb="FFFF0000"/>
        </patternFill>
      </fill>
    </dxf>
    <dxf>
      <fill>
        <patternFill>
          <bgColor theme="9" tint="-0.24994659260841701"/>
        </patternFill>
      </fill>
    </dxf>
    <dxf>
      <fill>
        <patternFill>
          <bgColor theme="9" tint="0.39994506668294322"/>
        </patternFill>
      </fill>
    </dxf>
    <dxf>
      <fill>
        <patternFill>
          <bgColor theme="9" tint="0.59996337778862885"/>
        </patternFill>
      </fill>
    </dxf>
    <dxf>
      <fill>
        <patternFill>
          <bgColor theme="1" tint="0.499984740745262"/>
        </patternFill>
      </fill>
    </dxf>
    <dxf>
      <font>
        <b/>
        <i val="0"/>
        <color rgb="FFFF0000"/>
      </font>
    </dxf>
    <dxf>
      <font>
        <b val="0"/>
        <i val="0"/>
        <u/>
        <color theme="7" tint="-0.24994659260841701"/>
      </font>
    </dxf>
    <dxf>
      <font>
        <b val="0"/>
        <i/>
        <u val="double"/>
        <color rgb="FF00B050"/>
      </font>
    </dxf>
    <dxf>
      <fill>
        <patternFill>
          <bgColor rgb="FFFFFF00"/>
        </patternFill>
      </fill>
    </dxf>
    <dxf>
      <fill>
        <patternFill>
          <bgColor rgb="FFFFC000"/>
        </patternFill>
      </fill>
    </dxf>
    <dxf>
      <fill>
        <patternFill>
          <bgColor theme="8" tint="0.39994506668294322"/>
        </patternFill>
      </fill>
    </dxf>
    <dxf>
      <fill>
        <patternFill>
          <bgColor theme="0" tint="-0.499984740745262"/>
        </patternFill>
      </fill>
    </dxf>
    <dxf>
      <fill>
        <patternFill>
          <bgColor theme="1" tint="0.499984740745262"/>
        </patternFill>
      </fill>
    </dxf>
    <dxf>
      <fill>
        <patternFill>
          <bgColor rgb="FFFF0000"/>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ill>
        <patternFill>
          <bgColor rgb="FFFF0000"/>
        </patternFill>
      </fill>
    </dxf>
    <dxf>
      <font>
        <color auto="1"/>
      </font>
      <fill>
        <patternFill>
          <bgColor theme="7" tint="0.39994506668294322"/>
        </patternFill>
      </fill>
    </dxf>
    <dxf>
      <fill>
        <patternFill>
          <bgColor rgb="FFFF0000"/>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ill>
        <patternFill>
          <bgColor rgb="FFFF0000"/>
        </patternFill>
      </fill>
    </dxf>
    <dxf>
      <fill>
        <patternFill>
          <bgColor theme="0" tint="-0.499984740745262"/>
        </patternFill>
      </fill>
    </dxf>
    <dxf>
      <font>
        <color auto="1"/>
      </font>
      <fill>
        <patternFill>
          <bgColor theme="7" tint="0.39994506668294322"/>
        </patternFill>
      </fill>
    </dxf>
    <dxf>
      <font>
        <color auto="1"/>
      </font>
      <fill>
        <patternFill>
          <bgColor theme="7" tint="0.39994506668294322"/>
        </patternFill>
      </fill>
    </dxf>
    <dxf>
      <fill>
        <patternFill>
          <bgColor theme="0" tint="-0.499984740745262"/>
        </patternFill>
      </fill>
    </dxf>
    <dxf>
      <fill>
        <patternFill>
          <bgColor rgb="FFFF0000"/>
        </patternFill>
      </fill>
    </dxf>
    <dxf>
      <fill>
        <patternFill>
          <bgColor theme="0" tint="-0.499984740745262"/>
        </patternFill>
      </fill>
    </dxf>
    <dxf>
      <font>
        <color auto="1"/>
      </font>
      <fill>
        <patternFill>
          <bgColor theme="7" tint="0.39994506668294322"/>
        </patternFill>
      </fill>
    </dxf>
    <dxf>
      <fill>
        <patternFill>
          <bgColor rgb="FFFF0000"/>
        </patternFill>
      </fill>
    </dxf>
    <dxf>
      <font>
        <color auto="1"/>
      </font>
      <fill>
        <patternFill>
          <bgColor theme="7" tint="0.39994506668294322"/>
        </patternFill>
      </fill>
    </dxf>
    <dxf>
      <fill>
        <patternFill>
          <bgColor rgb="FFFF0000"/>
        </patternFill>
      </fill>
    </dxf>
    <dxf>
      <font>
        <color auto="1"/>
      </font>
      <fill>
        <patternFill>
          <bgColor theme="7"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ont>
        <color theme="0"/>
      </font>
      <fill>
        <patternFill>
          <bgColor rgb="FFFF0000"/>
        </patternFill>
      </fill>
    </dxf>
    <dxf>
      <fill>
        <patternFill>
          <bgColor rgb="FFFF0000"/>
        </patternFill>
      </fill>
    </dxf>
    <dxf>
      <fill>
        <patternFill>
          <bgColor theme="0" tint="-0.499984740745262"/>
        </patternFill>
      </fill>
    </dxf>
    <dxf>
      <fill>
        <patternFill>
          <bgColor theme="9" tint="-0.24994659260841701"/>
        </patternFill>
      </fill>
    </dxf>
    <dxf>
      <fill>
        <patternFill>
          <bgColor theme="9" tint="0.39994506668294322"/>
        </patternFill>
      </fill>
    </dxf>
    <dxf>
      <fill>
        <patternFill>
          <bgColor theme="9" tint="0.59996337778862885"/>
        </patternFill>
      </fill>
    </dxf>
    <dxf>
      <fill>
        <patternFill>
          <bgColor theme="0" tint="-0.499984740745262"/>
        </patternFill>
      </fill>
    </dxf>
    <dxf>
      <font>
        <color auto="1"/>
      </font>
      <fill>
        <patternFill>
          <bgColor theme="7" tint="0.39994506668294322"/>
        </patternFill>
      </fill>
    </dxf>
    <dxf>
      <fill>
        <patternFill>
          <bgColor theme="1"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rgb="FFFFFF00"/>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ont>
        <b/>
        <i val="0"/>
      </font>
      <fill>
        <patternFill>
          <bgColor rgb="FF92D050"/>
        </patternFill>
      </fill>
    </dxf>
    <dxf>
      <font>
        <color theme="0"/>
      </font>
      <fill>
        <patternFill>
          <bgColor rgb="FFFF0000"/>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rgb="FF92D050"/>
        </patternFill>
      </fill>
    </dxf>
    <dxf>
      <fill>
        <patternFill>
          <bgColor theme="9" tint="0.39994506668294322"/>
        </patternFill>
      </fill>
    </dxf>
    <dxf>
      <fill>
        <patternFill>
          <bgColor rgb="FFFFFF66"/>
        </patternFill>
      </fill>
    </dxf>
    <dxf>
      <fill>
        <patternFill>
          <bgColor theme="7" tint="0.59996337778862885"/>
        </patternFill>
      </fill>
    </dxf>
    <dxf>
      <fill>
        <patternFill>
          <bgColor theme="5" tint="0.59996337778862885"/>
        </patternFill>
      </fill>
    </dxf>
    <dxf>
      <fill>
        <patternFill>
          <bgColor theme="0" tint="-0.499984740745262"/>
        </patternFill>
      </fill>
    </dxf>
    <dxf>
      <fill>
        <patternFill>
          <bgColor theme="0" tint="-0.499984740745262"/>
        </patternFill>
      </fill>
    </dxf>
    <dxf>
      <fill>
        <patternFill>
          <bgColor theme="5" tint="0.59996337778862885"/>
        </patternFill>
      </fill>
    </dxf>
  </dxfs>
  <tableStyles count="0" defaultTableStyle="TableStyleMedium2" defaultPivotStyle="PivotStyleLight16"/>
  <colors>
    <mruColors>
      <color rgb="FFCCC0DA"/>
      <color rgb="FFB1A0C7"/>
      <color rgb="FF00FF00"/>
      <color rgb="FFFFFF66"/>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tx>
            <c:v>Frequency</c:v>
          </c:tx>
          <c:invertIfNegative val="0"/>
          <c:cat>
            <c:multiLvlStrRef>
              <c:f>'TIS Site Config'!$W$55:$W$71</c:f>
            </c:multiLvlStrRef>
          </c:cat>
          <c:val>
            <c:numRef>
              <c:f>'TIS Site Config'!$X$55:$X$71</c:f>
            </c:numRef>
          </c:val>
          <c:extLst>
            <c:ext xmlns:c16="http://schemas.microsoft.com/office/drawing/2014/chart" uri="{C3380CC4-5D6E-409C-BE32-E72D297353CC}">
              <c16:uniqueId val="{00000000-CB86-4447-B28F-FBD8EE6216A2}"/>
            </c:ext>
          </c:extLst>
        </c:ser>
        <c:dLbls>
          <c:showLegendKey val="0"/>
          <c:showVal val="0"/>
          <c:showCatName val="0"/>
          <c:showSerName val="0"/>
          <c:showPercent val="0"/>
          <c:showBubbleSize val="0"/>
        </c:dLbls>
        <c:gapWidth val="150"/>
        <c:axId val="626700240"/>
        <c:axId val="626700800"/>
      </c:barChart>
      <c:lineChart>
        <c:grouping val="standard"/>
        <c:varyColors val="0"/>
        <c:ser>
          <c:idx val="1"/>
          <c:order val="1"/>
          <c:tx>
            <c:v>Cumulative %</c:v>
          </c:tx>
          <c:cat>
            <c:multiLvlStrRef>
              <c:f>'TIS Site Config'!$W$55:$W$71</c:f>
            </c:multiLvlStrRef>
          </c:cat>
          <c:val>
            <c:numRef>
              <c:f>'TIS Site Config'!$Y$55:$Y$71</c:f>
            </c:numRef>
          </c:val>
          <c:smooth val="0"/>
          <c:extLst>
            <c:ext xmlns:c16="http://schemas.microsoft.com/office/drawing/2014/chart" uri="{C3380CC4-5D6E-409C-BE32-E72D297353CC}">
              <c16:uniqueId val="{00000001-CB86-4447-B28F-FBD8EE6216A2}"/>
            </c:ext>
          </c:extLst>
        </c:ser>
        <c:dLbls>
          <c:showLegendKey val="0"/>
          <c:showVal val="0"/>
          <c:showCatName val="0"/>
          <c:showSerName val="0"/>
          <c:showPercent val="0"/>
          <c:showBubbleSize val="0"/>
        </c:dLbls>
        <c:marker val="1"/>
        <c:smooth val="0"/>
        <c:axId val="626701920"/>
        <c:axId val="626701360"/>
      </c:lineChart>
      <c:catAx>
        <c:axId val="626700240"/>
        <c:scaling>
          <c:orientation val="minMax"/>
        </c:scaling>
        <c:delete val="0"/>
        <c:axPos val="b"/>
        <c:title>
          <c:tx>
            <c:rich>
              <a:bodyPr/>
              <a:lstStyle/>
              <a:p>
                <a:pPr>
                  <a:defRPr/>
                </a:pPr>
                <a:r>
                  <a:rPr lang="en-US"/>
                  <a:t>Bin</a:t>
                </a:r>
              </a:p>
            </c:rich>
          </c:tx>
          <c:overlay val="0"/>
        </c:title>
        <c:majorTickMark val="out"/>
        <c:minorTickMark val="none"/>
        <c:tickLblPos val="nextTo"/>
        <c:crossAx val="626700800"/>
        <c:crosses val="autoZero"/>
        <c:auto val="1"/>
        <c:lblAlgn val="ctr"/>
        <c:lblOffset val="100"/>
        <c:noMultiLvlLbl val="0"/>
      </c:catAx>
      <c:valAx>
        <c:axId val="626700800"/>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626700240"/>
        <c:crosses val="autoZero"/>
        <c:crossBetween val="between"/>
      </c:valAx>
      <c:valAx>
        <c:axId val="626701360"/>
        <c:scaling>
          <c:orientation val="minMax"/>
        </c:scaling>
        <c:delete val="0"/>
        <c:axPos val="r"/>
        <c:majorGridlines/>
        <c:minorGridlines/>
        <c:numFmt formatCode="0.0%" sourceLinked="0"/>
        <c:majorTickMark val="out"/>
        <c:minorTickMark val="none"/>
        <c:tickLblPos val="nextTo"/>
        <c:crossAx val="626701920"/>
        <c:crosses val="max"/>
        <c:crossBetween val="between"/>
        <c:minorUnit val="0.1"/>
      </c:valAx>
      <c:catAx>
        <c:axId val="626701920"/>
        <c:scaling>
          <c:orientation val="minMax"/>
        </c:scaling>
        <c:delete val="1"/>
        <c:axPos val="b"/>
        <c:majorTickMark val="out"/>
        <c:minorTickMark val="none"/>
        <c:tickLblPos val="nextTo"/>
        <c:crossAx val="62670136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481293</xdr:colOff>
      <xdr:row>3</xdr:row>
      <xdr:rowOff>47657</xdr:rowOff>
    </xdr:to>
    <xdr:pic>
      <xdr:nvPicPr>
        <xdr:cNvPr id="4" name="Picture 3" descr="NEON_newblue.pdf"/>
        <xdr:cNvPicPr/>
      </xdr:nvPicPr>
      <xdr:blipFill rotWithShape="1">
        <a:blip xmlns:r="http://schemas.openxmlformats.org/officeDocument/2006/relationships" r:embed="rId1"/>
        <a:srcRect r="6618"/>
        <a:stretch/>
      </xdr:blipFill>
      <xdr:spPr>
        <a:xfrm>
          <a:off x="470647" y="201706"/>
          <a:ext cx="1209675" cy="630363"/>
        </a:xfrm>
        <a:prstGeom prst="rect">
          <a:avLst/>
        </a:prstGeom>
      </xdr:spPr>
    </xdr:pic>
    <xdr:clientData/>
  </xdr:twoCellAnchor>
  <xdr:twoCellAnchor editAs="oneCell">
    <xdr:from>
      <xdr:col>14</xdr:col>
      <xdr:colOff>0</xdr:colOff>
      <xdr:row>1</xdr:row>
      <xdr:rowOff>0</xdr:rowOff>
    </xdr:from>
    <xdr:to>
      <xdr:col>15</xdr:col>
      <xdr:colOff>481293</xdr:colOff>
      <xdr:row>3</xdr:row>
      <xdr:rowOff>47657</xdr:rowOff>
    </xdr:to>
    <xdr:pic>
      <xdr:nvPicPr>
        <xdr:cNvPr id="5" name="Picture 4" descr="NEON_newblue.pdf"/>
        <xdr:cNvPicPr/>
      </xdr:nvPicPr>
      <xdr:blipFill rotWithShape="1">
        <a:blip xmlns:r="http://schemas.openxmlformats.org/officeDocument/2006/relationships" r:embed="rId1"/>
        <a:srcRect r="6618"/>
        <a:stretch/>
      </xdr:blipFill>
      <xdr:spPr>
        <a:xfrm>
          <a:off x="7239000" y="201706"/>
          <a:ext cx="1209675" cy="630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54</xdr:row>
      <xdr:rowOff>95810</xdr:rowOff>
    </xdr:from>
    <xdr:to>
      <xdr:col>44</xdr:col>
      <xdr:colOff>324971</xdr:colOff>
      <xdr:row>77</xdr:row>
      <xdr:rowOff>22411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3" Type="http://schemas.openxmlformats.org/officeDocument/2006/relationships/hyperlink" Target="../../../AppData/Local/Microsoft/Windows/Temporary%20Internet%20Files/aakers/AppData/Local/Microsoft/common/InternalReview/TIS/SITE%20DESIGN%20REVIEWS/D05%20GREAT%20LAKES/R2%20-%20TREE%20HAVEN/Tower/100%25" TargetMode="External"/><Relationship Id="rId18" Type="http://schemas.openxmlformats.org/officeDocument/2006/relationships/hyperlink" Target="../../../AppData/Local/Microsoft/Windows/Temporary%20Internet%20Files/aakers/AppData/Local/Microsoft/common/InternalReview/TIS/SITE%20DESIGN%20REVIEWS/D07%20APPALACHIAN-CUMBERLAND%20PLATEAUS/R1%20-%20MOUNTAIN%20LAKE%20(MLBS)/TOWER/100%25" TargetMode="External"/><Relationship Id="rId26" Type="http://schemas.openxmlformats.org/officeDocument/2006/relationships/hyperlink" Target="../../../AppData/Local/Microsoft/Windows/Temporary%20Internet%20Files/aakers/AppData/Local/Microsoft/common/InternalReview/TIS/SITE%20DESIGN%20REVIEWS/D10%20CENTRAL%20PLAINS/CORE%20-%20CPER/TOWER%20DESIGN/100%25" TargetMode="External"/><Relationship Id="rId39" Type="http://schemas.openxmlformats.org/officeDocument/2006/relationships/hyperlink" Target="../../../AppData/Local/Microsoft/Windows/Temporary%20Internet%20Files/aakers/AppData/Local/Microsoft/common/InternalReview/TIS/SITE%20DESIGN%20REVIEWS/D17%20PACIFIC%20SOUTHWEST/CORE%20-%20SAN%20JOAQUIN/TOWER/100%25" TargetMode="External"/><Relationship Id="rId21" Type="http://schemas.openxmlformats.org/officeDocument/2006/relationships/hyperlink" Target="../../../AppData/Local/Microsoft/Windows/Temporary%20Internet%20Files/aakers/AppData/Local/Microsoft/common/InternalReview/TIS/SITE%20DESIGN%20REVIEWS/D08%20OZARKS%20COMPLEX/R2%20-%20DEAD%20LAKE/Tower%20Design/100%25" TargetMode="External"/><Relationship Id="rId34" Type="http://schemas.openxmlformats.org/officeDocument/2006/relationships/hyperlink" Target="../../../AppData/Local/Microsoft/Windows/Temporary%20Internet%20Files/aakers/AppData/Local/Microsoft/common/InternalReview/TIS/SITE%20DESIGN%20REVIEWS/D14%20DESERT%20SOUTHWEST/CORE%20-%20SANTA%20RITA/TOWER" TargetMode="External"/><Relationship Id="rId42" Type="http://schemas.openxmlformats.org/officeDocument/2006/relationships/hyperlink" Target="../../../AppData/Local/Microsoft/Windows/Temporary%20Internet%20Files/aakers/AppData/Local/Microsoft/common/InternalReview/TIS/SITE%20DESIGN%20REVIEWS/D18%20TUNDRA/CORE%20-TOOLIK%20LAKE/TOWER/100%25" TargetMode="External"/><Relationship Id="rId47" Type="http://schemas.openxmlformats.org/officeDocument/2006/relationships/hyperlink" Target="../../../AppData/Local/Microsoft/Windows/Temporary%20Internet%20Files/aakers/AppData/Local/Microsoft/common/InternalReview/TIS/SITE%20DESIGN%20REVIEWS/D20%20PACIFIC%20TROPICAL" TargetMode="External"/><Relationship Id="rId50" Type="http://schemas.openxmlformats.org/officeDocument/2006/relationships/vmlDrawing" Target="../drawings/vmlDrawing3.vml"/><Relationship Id="rId7" Type="http://schemas.openxmlformats.org/officeDocument/2006/relationships/hyperlink" Target="../../../AppData/Local/Microsoft/Windows/Temporary%20Internet%20Files/aakers/AppData/Local/Microsoft/common/InternalReview/TIS/SITE%20DESIGN%20REVIEWS/D03%20SOUTHEAST/R1%20-%20DISNEY/TOWER/100%25" TargetMode="External"/><Relationship Id="rId2" Type="http://schemas.openxmlformats.org/officeDocument/2006/relationships/hyperlink" Target="../../../AppData/Local/Microsoft/Windows/Temporary%20Internet%20Files/aakers/AppData/Local/Microsoft/common/InternalReview/TIS/SITE%20DESIGN%20REVIEWS/D01%20NORTHEAST/R1%20-%20BARTLETT/Tower/100%25" TargetMode="External"/><Relationship Id="rId16" Type="http://schemas.openxmlformats.org/officeDocument/2006/relationships/hyperlink" Target="../../../AppData/Local/Microsoft/Windows/Temporary%20Internet%20Files/aakers/AppData/Local/Microsoft/common/InternalReview/TIS/SITE%20DESIGN%20REVIEWS/D06%20PRAIRIE%20PENINSULA/R2%20-%20KONZA%20LOWLAND/TOWER/100%25" TargetMode="External"/><Relationship Id="rId29" Type="http://schemas.openxmlformats.org/officeDocument/2006/relationships/hyperlink" Target="../../../AppData/Local/Microsoft/Windows/Temporary%20Internet%20Files/aakers/AppData/Local/Microsoft/common/InternalReview/TIS/SITE%20DESIGN%20REVIEWS/D11%20SOUTHERN%20PLAINS/CORE%20-%20CADDO/TOWER/100%25" TargetMode="External"/><Relationship Id="rId11" Type="http://schemas.openxmlformats.org/officeDocument/2006/relationships/hyperlink" Target="../../../AppData/Local/Microsoft/Windows/Temporary%20Internet%20Files/aakers/AppData/Local/Microsoft/common/InternalReview/TIS/SITE%20DESIGN%20REVIEWS/D05%20GREAT%20LAKES/CORE%20-%20UNDERC/Tower/100" TargetMode="External"/><Relationship Id="rId24" Type="http://schemas.openxmlformats.org/officeDocument/2006/relationships/hyperlink" Target="../../../AppData/Local/Microsoft/Windows/Temporary%20Internet%20Files/aakers/AppData/Local/Microsoft/common/InternalReview/TIS/SITE%20DESIGN%20REVIEWS/D09%20NORTHERN%20PLAINS/R1%20-%20DAKOTA/TOWER" TargetMode="External"/><Relationship Id="rId32" Type="http://schemas.openxmlformats.org/officeDocument/2006/relationships/hyperlink" Target="../../../AppData/Local/Microsoft/Windows/Temporary%20Internet%20Files/aakers/AppData/Local/Microsoft/common/InternalReview/TIS/SITE%20DESIGN%20REVIEWS/D13%20SOUTHERN%20ROCKIES/CORE%20-%20NIWOT/TOWER/100%25" TargetMode="External"/><Relationship Id="rId37" Type="http://schemas.openxmlformats.org/officeDocument/2006/relationships/hyperlink" Target="..\..\..\AppData\Local\Microsoft\Windows\Temporary%20Internet%20Files\aakers\AppData\Local\Microsoft\common\InternalReview\TIS\SITE%20DESIGN%20REVIEWS\D16%20PACIFIC%20NORTHWEST\CORE-%20WIND%20RIVER" TargetMode="External"/><Relationship Id="rId40" Type="http://schemas.openxmlformats.org/officeDocument/2006/relationships/hyperlink" Target="../../../AppData/Local/Microsoft/Windows/Temporary%20Internet%20Files/aakers/AppData/Local/Microsoft/common/InternalReview/TIS/SITE%20DESIGN%20REVIEWS/D17%20PACIFIC%20SOUTHWEST/R2%20-%20LOWER%20TEAKETTLE/Tower/100" TargetMode="External"/><Relationship Id="rId45" Type="http://schemas.openxmlformats.org/officeDocument/2006/relationships/hyperlink" Target="../../../AppData/Local/Microsoft/Windows/Temporary%20Internet%20Files/aakers/AppData/Local/Microsoft/common/InternalReview/TIS/SITE%20DESIGN%20REVIEWS/D19%20TAIGA/R1%20-%20DELTA%20JUNCTION/TOWER/100%25" TargetMode="External"/><Relationship Id="rId5" Type="http://schemas.openxmlformats.org/officeDocument/2006/relationships/hyperlink" Target="../../../AppData/Local/Microsoft/Windows/Temporary%20Internet%20Files/aakers/AppData/Local/Microsoft/common/InternalReview/TIS/SITE%20DESIGN%20REVIEWS/D02%20MID-ATLANTIC/R2%20-%20BLANDY/TOWER" TargetMode="External"/><Relationship Id="rId15" Type="http://schemas.openxmlformats.org/officeDocument/2006/relationships/hyperlink" Target="../../../AppData/Local/Microsoft/Windows/Temporary%20Internet%20Files/aakers/AppData/Local/Microsoft/common/InternalReview/TIS/SITE%20DESIGN%20REVIEWS/D06%20PRAIRIE%20PENINSULA/R1%20-%20KANSAS/TOWER/100%25" TargetMode="External"/><Relationship Id="rId23" Type="http://schemas.openxmlformats.org/officeDocument/2006/relationships/hyperlink" Target="../../../AppData/Local/Microsoft/Windows/Temporary%20Internet%20Files/aakers/AppData/Local/Microsoft/common/InternalReview/TIS/SITE%20DESIGN%20REVIEWS/D09%20NORTHERN%20PLAINS/CORE%20-%20WOODWORTH/TOWER" TargetMode="External"/><Relationship Id="rId28" Type="http://schemas.openxmlformats.org/officeDocument/2006/relationships/hyperlink" Target="../../../AppData/Local/Microsoft/Windows/Temporary%20Internet%20Files/aakers/AppData/Local/Microsoft/common/InternalReview/TIS/SITE%20DESIGN%20REVIEWS/D10%20CENTRAL%20PLAINS/R2%20-%20RMNP%20CASTNET/Tower/100%25" TargetMode="External"/><Relationship Id="rId36" Type="http://schemas.openxmlformats.org/officeDocument/2006/relationships/hyperlink" Target="../../../AppData/Local/Microsoft/Windows/Temporary%20Internet%20Files/aakers/AppData/Local/Microsoft/common/InternalReview/TIS/SITE%20DESIGN%20REVIEWS/D15%20GREAT%20BASIN/CORE%20-%20ONAQUI/TOWER/100%25" TargetMode="External"/><Relationship Id="rId49" Type="http://schemas.openxmlformats.org/officeDocument/2006/relationships/printerSettings" Target="../printerSettings/printerSettings4.bin"/><Relationship Id="rId10" Type="http://schemas.openxmlformats.org/officeDocument/2006/relationships/hyperlink" Target="../../../AppData/Local/Microsoft/Windows/Temporary%20Internet%20Files/aakers/AppData/Local/Microsoft/common/InternalReview/TIS/SITE%20DESIGN%20REVIEWS/D04%20ATLANTIC%20NEOTROPICAL/R1%20-%20LAJAS/Tower" TargetMode="External"/><Relationship Id="rId19" Type="http://schemas.openxmlformats.org/officeDocument/2006/relationships/hyperlink" Target="../../../AppData/Local/Microsoft/Windows/Temporary%20Internet%20Files/aakers/AppData/Local/Microsoft/common/InternalReview/TIS/SITE%20DESIGN%20REVIEWS/D07%20APPALACHIAN-CUMBERLAND%20PLATEAUS/R2%20-%20GREAT%20SMOKY%20MOUNTAINS/TOWER/100%25" TargetMode="External"/><Relationship Id="rId31" Type="http://schemas.openxmlformats.org/officeDocument/2006/relationships/hyperlink" Target="../../../AppData/Local/Microsoft/Windows/Temporary%20Internet%20Files/aakers/AppData/Local/Microsoft/common/InternalReview/TIS/SITE%20DESIGN%20REVIEWS/D12%20NORTHERN%20ROCKIES/CORE%20-%20YELLOWSTONE/Tower/100%25" TargetMode="External"/><Relationship Id="rId44" Type="http://schemas.openxmlformats.org/officeDocument/2006/relationships/hyperlink" Target="../../../AppData/Local/Microsoft/Windows/Temporary%20Internet%20Files/aakers/AppData/Local/Microsoft/common/InternalReview/TIS/SITE%20DESIGN%20REVIEWS/D19%20TAIGA/CORE%20-%20CARIBOU%20CREEK/TOWER/100%25" TargetMode="External"/><Relationship Id="rId4" Type="http://schemas.openxmlformats.org/officeDocument/2006/relationships/hyperlink" Target="../../../AppData/Local/Microsoft/Windows/Temporary%20Internet%20Files/aakers/AppData/Local/Microsoft/common/InternalReview/TIS/SITE%20DESIGN%20REVIEWS/D02%20MID-ATLANTIC/R1%20-%20SMITHSONIAN%20RESEARCH%20CENTER/TOWER/100%25" TargetMode="External"/><Relationship Id="rId9" Type="http://schemas.openxmlformats.org/officeDocument/2006/relationships/hyperlink" Target="../../../AppData/Local/Microsoft/Windows/Temporary%20Internet%20Files/aakers/AppData/Local/Microsoft/common/InternalReview/TIS/SITE%20DESIGN%20REVIEWS/D04%20ATLANTIC%20NEOTROPICAL/CORE%20-%20GUANICA/TOWER/100%25" TargetMode="External"/><Relationship Id="rId14" Type="http://schemas.openxmlformats.org/officeDocument/2006/relationships/hyperlink" Target="../../../AppData/Local/Microsoft/Windows/Temporary%20Internet%20Files/aakers/AppData/Local/Microsoft/common/InternalReview/TIS/SITE%20DESIGN%20REVIEWS/D06%20PRAIRIE%20PENINSULA/CORE%20-%20KONZA/TOWER/100%25" TargetMode="External"/><Relationship Id="rId22" Type="http://schemas.openxmlformats.org/officeDocument/2006/relationships/hyperlink" Target="../../../AppData/Local/Microsoft/Windows/Temporary%20Internet%20Files/aakers/AppData/Local/Microsoft/common/InternalReview/TIS/SITE%20DESIGN%20REVIEWS/D08%20OZARKS%20COMPLEX/R1%20-%20LENOIR%20LANDING/Tower/100%25" TargetMode="External"/><Relationship Id="rId27" Type="http://schemas.openxmlformats.org/officeDocument/2006/relationships/hyperlink" Target="../../../AppData/Local/Microsoft/Windows/Temporary%20Internet%20Files/aakers/AppData/Local/Microsoft/common/InternalReview/TIS/SITE%20DESIGN%20REVIEWS/D10%20CENTRAL%20PLAINS/R1%20-%20STERLING/TOWER" TargetMode="External"/><Relationship Id="rId30" Type="http://schemas.openxmlformats.org/officeDocument/2006/relationships/hyperlink" Target="../../../AppData/Local/Microsoft/Windows/Temporary%20Internet%20Files/aakers/AppData/Local/Microsoft/common/InternalReview/TIS/SITE%20DESIGN%20REVIEWS/D11%20SOUTHERN%20PLAINS/R2%20-%20KLEMME/TOWER" TargetMode="External"/><Relationship Id="rId35" Type="http://schemas.openxmlformats.org/officeDocument/2006/relationships/hyperlink" Target="../../../AppData/Local/Microsoft/Windows/Temporary%20Internet%20Files/aakers/AppData/Local/Microsoft/common/InternalReview/TIS/SITE%20DESIGN%20REVIEWS/D14%20DESERT%20SOUTHWEST/R1%20-%20JORNADA/Tower" TargetMode="External"/><Relationship Id="rId43" Type="http://schemas.openxmlformats.org/officeDocument/2006/relationships/hyperlink" Target="../../../AppData/Local/Microsoft/Windows/Temporary%20Internet%20Files/aakers/AppData/Local/Microsoft/common/InternalReview/TIS/SITE%20DESIGN%20REVIEWS/D18%20TUNDRA/R1%20-%20BASC/TOWER/100%25" TargetMode="External"/><Relationship Id="rId48" Type="http://schemas.openxmlformats.org/officeDocument/2006/relationships/hyperlink" Target="../../../AppData/Local/Microsoft/Windows/Temporary%20Internet%20Files/aakers/AppData/Local/Microsoft/common/InternalReview/TIS/SITE%20DESIGN%20REVIEWS/D01%20NORTHEAST/CORE%20-%20HARVARD%20FOREST/IOCR%20Deliverables/Attached%20to%20ECO-02435/NEON.DOC.002454%20TIS%20Redlined%20Infrastructure%20Design%20Drawings%20D01C%20HARV.pdf" TargetMode="External"/><Relationship Id="rId8" Type="http://schemas.openxmlformats.org/officeDocument/2006/relationships/hyperlink" Target="../../../AppData/Local/Microsoft/Windows/Temporary%20Internet%20Files/aakers/AppData/Local/Microsoft/common/InternalReview/TIS/SITE%20DESIGN%20REVIEWS/D03%20SOUTHEAST/R2%20-%20JONES/Tower" TargetMode="External"/><Relationship Id="rId51" Type="http://schemas.openxmlformats.org/officeDocument/2006/relationships/comments" Target="../comments3.xml"/><Relationship Id="rId3" Type="http://schemas.openxmlformats.org/officeDocument/2006/relationships/hyperlink" Target="../../../AppData/Local/Microsoft/Windows/Temporary%20Internet%20Files/aakers/AppData/Local/Microsoft/common/InternalReview/TIS/SITE%20DESIGN%20REVIEWS/D02%20MID-ATLANTIC/CORE%20-%20SMITHSONIAN%20CONSERVATION%20INSTITUTE/Tower%20Design" TargetMode="External"/><Relationship Id="rId12" Type="http://schemas.openxmlformats.org/officeDocument/2006/relationships/hyperlink" Target="../../../AppData/Local/Microsoft/Windows/Temporary%20Internet%20Files/aakers/AppData/Local/Microsoft/common/InternalReview/TIS/SITE%20DESIGN%20REVIEWS/D05%20GREAT%20LAKES/R1%20-%20STEIGERWALDT/TOWER/100%25" TargetMode="External"/><Relationship Id="rId17" Type="http://schemas.openxmlformats.org/officeDocument/2006/relationships/hyperlink" Target="../../../AppData/Local/Microsoft/Windows/Temporary%20Internet%20Files/aakers/AppData/Local/Microsoft/common/InternalReview/TIS/SITE%20DESIGN%20REVIEWS/D07%20APPALACHIAN-CUMBERLAND%20PLATEAUS/CORE%20-%20OAK%20RIDGE/Tower/100%25" TargetMode="External"/><Relationship Id="rId25" Type="http://schemas.openxmlformats.org/officeDocument/2006/relationships/hyperlink" Target="../../../AppData/Local/Microsoft/Windows/Temporary%20Internet%20Files/aakers/AppData/Local/Microsoft/common/InternalReview/TIS/SITE%20DESIGN%20REVIEWS/D09%20NORTHERN%20PLAINS/R2%20-%20NORTHERN%20GREAT%20PLAINS/TOWER/100%25" TargetMode="External"/><Relationship Id="rId33" Type="http://schemas.openxmlformats.org/officeDocument/2006/relationships/hyperlink" Target="../../../AppData/Local/Microsoft/Windows/Temporary%20Internet%20Files/aakers/AppData/Local/Microsoft/common/InternalReview/TIS/SITE%20DESIGN%20REVIEWS/D13%20SOUTHERN%20ROCKIES/R1%20-%20MOAB/Tower/100%25" TargetMode="External"/><Relationship Id="rId38" Type="http://schemas.openxmlformats.org/officeDocument/2006/relationships/hyperlink" Target="../../../AppData/Local/Microsoft/Windows/Temporary%20Internet%20Files/aakers/AppData/Local/Microsoft/common/InternalReview/TIS/SITE%20DESIGN%20REVIEWS/D16%20PACIFIC%20NORTHWEST/R2%20-%20ABBY%20ROAD/TOWER/100%25" TargetMode="External"/><Relationship Id="rId46" Type="http://schemas.openxmlformats.org/officeDocument/2006/relationships/hyperlink" Target="../../../AppData/Local/Microsoft/Windows/Temporary%20Internet%20Files/aakers/AppData/Local/Microsoft/common/InternalReview/TIS/SITE%20DESIGN%20REVIEWS/D19%20TAIGA/R3%20-%20EIGHT%20MILE/TOWER" TargetMode="External"/><Relationship Id="rId20" Type="http://schemas.openxmlformats.org/officeDocument/2006/relationships/hyperlink" Target="../../../AppData/Local/Microsoft/Windows/Temporary%20Internet%20Files/aakers/AppData/Local/Microsoft/common/InternalReview/TIS/SITE%20DESIGN%20REVIEWS/D08%20OZARKS%20COMPLEX/CORE%20-%20TALLADEGA/TOWER/100%25" TargetMode="External"/><Relationship Id="rId41" Type="http://schemas.openxmlformats.org/officeDocument/2006/relationships/hyperlink" Target="../../../AppData/Local/Microsoft/Windows/Temporary%20Internet%20Files/aakers/AppData/Local/Microsoft/common/InternalReview/TIS/SITE%20DESIGN%20REVIEWS/D17%20PACIFIC%20SOUTHWEST/R1%20-%20SOAPROOT%20SADDLE/TOWER/100%25" TargetMode="External"/><Relationship Id="rId1" Type="http://schemas.openxmlformats.org/officeDocument/2006/relationships/hyperlink" Target="../../../AppData/Local/Microsoft/Windows/Temporary%20Internet%20Files/aakers/AppData/Local/Microsoft/common/InternalReview/TIS/SITE%20DESIGN%20REVIEWS/D01%20NORTHEAST/CORE%20-%20HARVARD%20FOREST/TOWER" TargetMode="External"/><Relationship Id="rId6" Type="http://schemas.openxmlformats.org/officeDocument/2006/relationships/hyperlink" Target="../../../AppData/Local/Microsoft/Windows/Temporary%20Internet%20Files/aakers/AppData/Local/Microsoft/common/InternalReview/TIS/SITE%20DESIGN%20REVIEWS/D03%20SOUTHEAST/CORE%20-%20ORDWAY/TOWER"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57"/>
  <sheetViews>
    <sheetView tabSelected="1" view="pageLayout" zoomScale="85" zoomScaleNormal="100" zoomScalePageLayoutView="85" workbookViewId="0">
      <selection activeCell="E3" sqref="E3:F3"/>
    </sheetView>
  </sheetViews>
  <sheetFormatPr defaultColWidth="2.5703125" defaultRowHeight="15" x14ac:dyDescent="0.25"/>
  <cols>
    <col min="1" max="2" width="3.28515625" style="437" customWidth="1"/>
    <col min="3" max="10" width="10.140625" style="437" customWidth="1"/>
    <col min="11" max="14" width="3.28515625" style="437" customWidth="1"/>
    <col min="15" max="22" width="10.140625" style="437" customWidth="1"/>
    <col min="23" max="24" width="3" style="437" customWidth="1"/>
    <col min="25" max="26" width="9.42578125" style="437" customWidth="1"/>
    <col min="27" max="16384" width="2.5703125" style="437"/>
  </cols>
  <sheetData>
    <row r="1" spans="1:24" ht="15.75" thickBot="1" x14ac:dyDescent="0.3">
      <c r="A1" s="719"/>
      <c r="B1" s="719"/>
      <c r="C1" s="719"/>
      <c r="D1" s="719"/>
      <c r="E1" s="719"/>
      <c r="F1" s="719"/>
      <c r="G1" s="719"/>
      <c r="H1" s="719"/>
      <c r="I1" s="719"/>
      <c r="J1" s="719"/>
      <c r="K1" s="719"/>
      <c r="L1" s="719"/>
      <c r="M1" s="719"/>
      <c r="N1" s="719"/>
      <c r="O1" s="719"/>
      <c r="P1" s="719"/>
      <c r="Q1" s="719"/>
      <c r="R1" s="719"/>
      <c r="S1" s="719"/>
      <c r="T1" s="719"/>
      <c r="U1" s="719"/>
      <c r="V1" s="719"/>
      <c r="W1" s="719"/>
      <c r="X1" s="719"/>
    </row>
    <row r="2" spans="1:24" ht="22.5" customHeight="1" x14ac:dyDescent="0.25">
      <c r="A2" s="719"/>
      <c r="B2" s="720"/>
      <c r="C2" s="1146"/>
      <c r="D2" s="1146"/>
      <c r="E2" s="1149" t="s">
        <v>1041</v>
      </c>
      <c r="F2" s="1150"/>
      <c r="G2" s="1150"/>
      <c r="H2" s="1150"/>
      <c r="I2" s="1151"/>
      <c r="J2" s="1142" t="s">
        <v>1174</v>
      </c>
      <c r="K2" s="1143"/>
      <c r="L2" s="720"/>
      <c r="M2" s="720"/>
      <c r="N2" s="720"/>
      <c r="O2" s="1152"/>
      <c r="P2" s="1152"/>
      <c r="Q2" s="1149" t="str">
        <f>E2</f>
        <v>Title: TIS Subsystem Architecture, Site Configuration and Subsystem Demand by Site - SCMB Baseline</v>
      </c>
      <c r="R2" s="1150"/>
      <c r="S2" s="1150"/>
      <c r="T2" s="1150"/>
      <c r="U2" s="1151"/>
      <c r="V2" s="1142" t="str">
        <f>J2</f>
        <v>Date:  05/12/2016</v>
      </c>
      <c r="W2" s="1143"/>
      <c r="X2" s="719"/>
    </row>
    <row r="3" spans="1:24" ht="22.5" customHeight="1" thickBot="1" x14ac:dyDescent="0.3">
      <c r="A3" s="719"/>
      <c r="B3" s="721"/>
      <c r="C3" s="1146"/>
      <c r="D3" s="1146"/>
      <c r="E3" s="1144" t="s">
        <v>1216</v>
      </c>
      <c r="F3" s="1145"/>
      <c r="G3" s="1147" t="s">
        <v>1186</v>
      </c>
      <c r="H3" s="1147"/>
      <c r="I3" s="1147"/>
      <c r="J3" s="1147" t="s">
        <v>1206</v>
      </c>
      <c r="K3" s="1148"/>
      <c r="L3" s="721"/>
      <c r="M3" s="721"/>
      <c r="N3" s="722"/>
      <c r="O3" s="1152"/>
      <c r="P3" s="1152"/>
      <c r="Q3" s="1144" t="str">
        <f>E3</f>
        <v>NEON Doc #:  NEON.DOC.002768</v>
      </c>
      <c r="R3" s="1145"/>
      <c r="S3" s="1147" t="str">
        <f>G3</f>
        <v>Author: S. Craft</v>
      </c>
      <c r="T3" s="1147"/>
      <c r="U3" s="1147"/>
      <c r="V3" s="1147" t="str">
        <f>J3</f>
        <v>Revision: J</v>
      </c>
      <c r="W3" s="1148"/>
      <c r="X3" s="719"/>
    </row>
    <row r="4" spans="1:24" x14ac:dyDescent="0.25">
      <c r="A4" s="719"/>
      <c r="B4" s="721"/>
      <c r="C4" s="720"/>
      <c r="D4" s="720"/>
      <c r="E4" s="722"/>
      <c r="F4" s="722"/>
      <c r="G4" s="722"/>
      <c r="H4" s="722"/>
      <c r="I4" s="722"/>
      <c r="J4" s="722"/>
      <c r="K4" s="719"/>
      <c r="L4" s="721"/>
      <c r="M4" s="721"/>
      <c r="N4" s="722"/>
      <c r="O4" s="722"/>
      <c r="P4" s="722"/>
      <c r="Q4" s="722"/>
      <c r="R4" s="722"/>
      <c r="S4" s="722"/>
      <c r="T4" s="719"/>
      <c r="U4" s="719"/>
      <c r="V4" s="719"/>
      <c r="W4" s="719"/>
      <c r="X4" s="719"/>
    </row>
    <row r="5" spans="1:24" ht="15" customHeight="1" x14ac:dyDescent="0.25">
      <c r="A5" s="719"/>
      <c r="B5" s="720"/>
      <c r="C5" s="720"/>
      <c r="D5" s="720"/>
      <c r="E5" s="720"/>
      <c r="F5" s="720"/>
      <c r="G5" s="720"/>
      <c r="H5" s="720"/>
      <c r="I5" s="720"/>
      <c r="J5" s="719"/>
      <c r="K5" s="719"/>
      <c r="L5" s="720"/>
      <c r="M5" s="720"/>
      <c r="N5" s="720"/>
      <c r="O5" s="720"/>
      <c r="P5" s="720"/>
      <c r="Q5" s="720"/>
      <c r="R5" s="720"/>
      <c r="S5" s="719"/>
      <c r="T5" s="719"/>
      <c r="U5" s="719"/>
      <c r="V5" s="719"/>
      <c r="W5" s="719"/>
      <c r="X5" s="719"/>
    </row>
    <row r="6" spans="1:24" ht="13.5" customHeight="1" x14ac:dyDescent="0.25">
      <c r="A6" s="719"/>
      <c r="B6" s="719"/>
      <c r="C6" s="719"/>
      <c r="D6" s="719"/>
      <c r="E6" s="719"/>
      <c r="F6" s="719"/>
      <c r="G6" s="719"/>
      <c r="H6" s="719"/>
      <c r="I6" s="719"/>
      <c r="J6" s="719"/>
      <c r="K6" s="719"/>
      <c r="L6" s="719"/>
      <c r="M6" s="719"/>
      <c r="N6" s="719"/>
      <c r="O6" s="719"/>
      <c r="P6" s="719"/>
      <c r="Q6" s="719"/>
      <c r="R6" s="719"/>
      <c r="S6" s="719"/>
      <c r="T6" s="719"/>
      <c r="U6" s="719"/>
      <c r="V6" s="719"/>
      <c r="W6" s="719"/>
      <c r="X6" s="719"/>
    </row>
    <row r="7" spans="1:24" hidden="1" x14ac:dyDescent="0.25">
      <c r="A7" s="719"/>
      <c r="B7" s="719"/>
      <c r="C7" s="719"/>
      <c r="D7" s="719"/>
      <c r="E7" s="719"/>
      <c r="F7" s="719"/>
      <c r="G7" s="719"/>
      <c r="H7" s="719"/>
      <c r="I7" s="719"/>
      <c r="J7" s="719"/>
      <c r="K7" s="719"/>
      <c r="L7" s="719"/>
      <c r="M7" s="719"/>
      <c r="N7" s="719"/>
      <c r="O7" s="719"/>
      <c r="P7" s="719"/>
      <c r="Q7" s="719"/>
      <c r="R7" s="719"/>
      <c r="S7" s="719"/>
      <c r="T7" s="719"/>
      <c r="U7" s="719"/>
      <c r="V7" s="719"/>
      <c r="W7" s="719"/>
      <c r="X7" s="719"/>
    </row>
    <row r="8" spans="1:24" ht="45.75" customHeight="1" x14ac:dyDescent="0.35">
      <c r="A8" s="719"/>
      <c r="B8" s="723"/>
      <c r="C8" s="1153" t="s">
        <v>1040</v>
      </c>
      <c r="D8" s="1154"/>
      <c r="E8" s="1154"/>
      <c r="F8" s="1154"/>
      <c r="G8" s="1154"/>
      <c r="H8" s="1154"/>
      <c r="I8" s="1154"/>
      <c r="J8" s="1154"/>
      <c r="K8" s="724"/>
      <c r="L8" s="719"/>
      <c r="M8" s="724"/>
      <c r="N8" s="724"/>
      <c r="O8" s="1155" t="s">
        <v>930</v>
      </c>
      <c r="P8" s="1155"/>
      <c r="Q8" s="1155"/>
      <c r="R8" s="1155"/>
      <c r="S8" s="1155"/>
      <c r="T8" s="1155"/>
      <c r="U8" s="1155"/>
      <c r="V8" s="1155"/>
      <c r="W8" s="719"/>
      <c r="X8" s="719"/>
    </row>
    <row r="9" spans="1:24" ht="15.75" thickBot="1" x14ac:dyDescent="0.3">
      <c r="A9" s="719"/>
      <c r="B9" s="719"/>
      <c r="C9" s="719"/>
      <c r="D9" s="719"/>
      <c r="E9" s="719"/>
      <c r="F9" s="719"/>
      <c r="G9" s="719"/>
      <c r="H9" s="719"/>
      <c r="I9" s="719"/>
      <c r="J9" s="719"/>
      <c r="K9" s="719"/>
      <c r="L9" s="719"/>
      <c r="M9" s="719"/>
      <c r="N9" s="719"/>
      <c r="O9" s="719"/>
      <c r="P9" s="719"/>
      <c r="Q9" s="719"/>
      <c r="R9" s="719"/>
      <c r="S9" s="719"/>
      <c r="T9" s="719"/>
      <c r="U9" s="719"/>
      <c r="V9" s="719"/>
      <c r="W9" s="719"/>
      <c r="X9" s="719"/>
    </row>
    <row r="10" spans="1:24" x14ac:dyDescent="0.25">
      <c r="A10" s="719"/>
      <c r="B10" s="719"/>
      <c r="C10" s="1156" t="s">
        <v>931</v>
      </c>
      <c r="D10" s="1157"/>
      <c r="E10" s="1157"/>
      <c r="F10" s="1157" t="s">
        <v>932</v>
      </c>
      <c r="G10" s="1157"/>
      <c r="H10" s="1157"/>
      <c r="I10" s="1157" t="s">
        <v>933</v>
      </c>
      <c r="J10" s="1158"/>
      <c r="K10" s="719"/>
      <c r="L10" s="719"/>
      <c r="M10" s="719"/>
      <c r="N10" s="719"/>
      <c r="O10" s="725" t="s">
        <v>934</v>
      </c>
      <c r="P10" s="1157" t="s">
        <v>933</v>
      </c>
      <c r="Q10" s="1157"/>
      <c r="R10" s="726" t="s">
        <v>935</v>
      </c>
      <c r="S10" s="1157" t="s">
        <v>936</v>
      </c>
      <c r="T10" s="1157"/>
      <c r="U10" s="1157"/>
      <c r="V10" s="1158"/>
      <c r="W10" s="719"/>
      <c r="X10" s="719"/>
    </row>
    <row r="11" spans="1:24" ht="15" customHeight="1" x14ac:dyDescent="0.25">
      <c r="A11" s="719"/>
      <c r="B11" s="719"/>
      <c r="C11" s="1164" t="s">
        <v>1151</v>
      </c>
      <c r="D11" s="1160"/>
      <c r="E11" s="1160"/>
      <c r="F11" s="1160" t="s">
        <v>1152</v>
      </c>
      <c r="G11" s="1160"/>
      <c r="H11" s="1160"/>
      <c r="I11" s="1165">
        <v>42790</v>
      </c>
      <c r="J11" s="1166"/>
      <c r="K11" s="719"/>
      <c r="L11" s="719"/>
      <c r="M11" s="719"/>
      <c r="N11" s="719"/>
      <c r="O11" s="943" t="s">
        <v>939</v>
      </c>
      <c r="P11" s="1165" t="s">
        <v>1039</v>
      </c>
      <c r="Q11" s="1160"/>
      <c r="R11" s="944" t="s">
        <v>979</v>
      </c>
      <c r="S11" s="1171" t="s">
        <v>940</v>
      </c>
      <c r="T11" s="1171"/>
      <c r="U11" s="1171"/>
      <c r="V11" s="1172"/>
      <c r="W11" s="719"/>
      <c r="X11" s="719"/>
    </row>
    <row r="12" spans="1:24" ht="15.75" thickBot="1" x14ac:dyDescent="0.3">
      <c r="A12" s="719"/>
      <c r="B12" s="719"/>
      <c r="C12" s="1167" t="s">
        <v>937</v>
      </c>
      <c r="D12" s="1168"/>
      <c r="E12" s="1168"/>
      <c r="F12" s="1168" t="s">
        <v>938</v>
      </c>
      <c r="G12" s="1168"/>
      <c r="H12" s="1168"/>
      <c r="I12" s="1169">
        <v>42327</v>
      </c>
      <c r="J12" s="1170"/>
      <c r="K12" s="719"/>
      <c r="L12" s="719"/>
      <c r="M12" s="719"/>
      <c r="N12" s="719"/>
      <c r="O12" s="727" t="s">
        <v>1035</v>
      </c>
      <c r="P12" s="1165" t="s">
        <v>1038</v>
      </c>
      <c r="Q12" s="1160"/>
      <c r="R12" s="728" t="s">
        <v>1036</v>
      </c>
      <c r="S12" s="1171" t="s">
        <v>1037</v>
      </c>
      <c r="T12" s="1171"/>
      <c r="U12" s="1171"/>
      <c r="V12" s="1172"/>
      <c r="W12" s="719"/>
      <c r="X12" s="719"/>
    </row>
    <row r="13" spans="1:24" ht="15.75" thickBot="1" x14ac:dyDescent="0.3">
      <c r="A13" s="719"/>
      <c r="B13" s="719"/>
      <c r="C13" s="719"/>
      <c r="D13" s="719"/>
      <c r="E13" s="719"/>
      <c r="F13" s="719"/>
      <c r="G13" s="719"/>
      <c r="H13" s="719"/>
      <c r="I13" s="719"/>
      <c r="J13" s="719"/>
      <c r="K13" s="719"/>
      <c r="L13" s="721"/>
      <c r="M13" s="721"/>
      <c r="N13" s="721"/>
      <c r="O13" s="727" t="s">
        <v>146</v>
      </c>
      <c r="P13" s="1159">
        <v>42303</v>
      </c>
      <c r="Q13" s="1160"/>
      <c r="R13" s="728" t="s">
        <v>1042</v>
      </c>
      <c r="S13" s="1161" t="s">
        <v>1133</v>
      </c>
      <c r="T13" s="1162"/>
      <c r="U13" s="1162"/>
      <c r="V13" s="1163"/>
      <c r="W13" s="719"/>
      <c r="X13" s="719"/>
    </row>
    <row r="14" spans="1:24" x14ac:dyDescent="0.25">
      <c r="A14" s="719"/>
      <c r="B14" s="719"/>
      <c r="C14" s="1156" t="s">
        <v>941</v>
      </c>
      <c r="D14" s="1157"/>
      <c r="E14" s="1157"/>
      <c r="F14" s="1157" t="s">
        <v>932</v>
      </c>
      <c r="G14" s="1157"/>
      <c r="H14" s="1157"/>
      <c r="I14" s="1157" t="s">
        <v>933</v>
      </c>
      <c r="J14" s="1158"/>
      <c r="K14" s="719"/>
      <c r="L14" s="719"/>
      <c r="M14" s="729"/>
      <c r="N14" s="719"/>
      <c r="O14" s="727" t="s">
        <v>147</v>
      </c>
      <c r="P14" s="1159">
        <v>42342</v>
      </c>
      <c r="Q14" s="1160"/>
      <c r="R14" s="728" t="s">
        <v>1131</v>
      </c>
      <c r="S14" s="1173" t="s">
        <v>1132</v>
      </c>
      <c r="T14" s="1173"/>
      <c r="U14" s="1173"/>
      <c r="V14" s="1174"/>
      <c r="W14" s="719"/>
      <c r="X14" s="719"/>
    </row>
    <row r="15" spans="1:24" x14ac:dyDescent="0.25">
      <c r="A15" s="719"/>
      <c r="B15" s="719"/>
      <c r="C15" s="1180" t="s">
        <v>1208</v>
      </c>
      <c r="D15" s="1178"/>
      <c r="E15" s="1178"/>
      <c r="F15" s="1178" t="s">
        <v>1209</v>
      </c>
      <c r="G15" s="1178"/>
      <c r="H15" s="1178"/>
      <c r="I15" s="1181" t="s">
        <v>1210</v>
      </c>
      <c r="J15" s="1182"/>
      <c r="K15" s="719"/>
      <c r="L15" s="719"/>
      <c r="M15" s="719"/>
      <c r="N15" s="719"/>
      <c r="O15" s="727" t="s">
        <v>1134</v>
      </c>
      <c r="P15" s="1178" t="s">
        <v>1154</v>
      </c>
      <c r="Q15" s="1178"/>
      <c r="R15" s="728" t="s">
        <v>1153</v>
      </c>
      <c r="S15" s="1173" t="s">
        <v>1133</v>
      </c>
      <c r="T15" s="1173"/>
      <c r="U15" s="1173"/>
      <c r="V15" s="1174"/>
      <c r="W15" s="719"/>
      <c r="X15" s="719"/>
    </row>
    <row r="16" spans="1:24" x14ac:dyDescent="0.25">
      <c r="A16" s="719"/>
      <c r="B16" s="719"/>
      <c r="C16" s="1175" t="s">
        <v>1211</v>
      </c>
      <c r="D16" s="1176"/>
      <c r="E16" s="1176"/>
      <c r="F16" s="1176" t="s">
        <v>1212</v>
      </c>
      <c r="G16" s="1176"/>
      <c r="H16" s="1176"/>
      <c r="I16" s="1176" t="s">
        <v>1213</v>
      </c>
      <c r="J16" s="1177"/>
      <c r="K16" s="719"/>
      <c r="L16" s="719"/>
      <c r="M16" s="719"/>
      <c r="N16" s="719"/>
      <c r="O16" s="727" t="s">
        <v>1155</v>
      </c>
      <c r="P16" s="1178" t="s">
        <v>1159</v>
      </c>
      <c r="Q16" s="1178"/>
      <c r="R16" s="728" t="s">
        <v>1158</v>
      </c>
      <c r="S16" s="1179" t="s">
        <v>1157</v>
      </c>
      <c r="T16" s="1173"/>
      <c r="U16" s="1173"/>
      <c r="V16" s="1174"/>
      <c r="W16" s="719"/>
      <c r="X16" s="719"/>
    </row>
    <row r="17" spans="1:24" x14ac:dyDescent="0.25">
      <c r="A17" s="719"/>
      <c r="B17" s="719"/>
      <c r="C17" s="1188"/>
      <c r="D17" s="1189"/>
      <c r="E17" s="1189"/>
      <c r="F17" s="1189"/>
      <c r="G17" s="1189"/>
      <c r="H17" s="1189"/>
      <c r="I17" s="1190"/>
      <c r="J17" s="1191"/>
      <c r="K17" s="719"/>
      <c r="L17" s="719"/>
      <c r="M17" s="719"/>
      <c r="N17" s="719"/>
      <c r="O17" s="727" t="s">
        <v>1160</v>
      </c>
      <c r="P17" s="1159">
        <v>42502</v>
      </c>
      <c r="Q17" s="1160"/>
      <c r="R17" s="728" t="s">
        <v>1172</v>
      </c>
      <c r="S17" s="1173" t="s">
        <v>1173</v>
      </c>
      <c r="T17" s="1173"/>
      <c r="U17" s="1173"/>
      <c r="V17" s="1174"/>
      <c r="W17" s="719"/>
      <c r="X17" s="719"/>
    </row>
    <row r="18" spans="1:24" ht="15.75" thickBot="1" x14ac:dyDescent="0.3">
      <c r="A18" s="719"/>
      <c r="B18" s="719"/>
      <c r="C18" s="1183"/>
      <c r="D18" s="1184"/>
      <c r="E18" s="1184"/>
      <c r="F18" s="1185"/>
      <c r="G18" s="1185"/>
      <c r="H18" s="1185"/>
      <c r="I18" s="1186"/>
      <c r="J18" s="1187"/>
      <c r="K18" s="719"/>
      <c r="L18" s="719"/>
      <c r="M18" s="719"/>
      <c r="N18" s="719"/>
      <c r="O18" s="727" t="s">
        <v>1175</v>
      </c>
      <c r="P18" s="1159">
        <v>42702</v>
      </c>
      <c r="Q18" s="1160"/>
      <c r="R18" s="728" t="s">
        <v>1202</v>
      </c>
      <c r="S18" s="1173" t="s">
        <v>1187</v>
      </c>
      <c r="T18" s="1173"/>
      <c r="U18" s="1173"/>
      <c r="V18" s="1174"/>
      <c r="W18" s="719"/>
      <c r="X18" s="719"/>
    </row>
    <row r="19" spans="1:24" ht="15.75" thickBot="1" x14ac:dyDescent="0.3">
      <c r="A19" s="719"/>
      <c r="B19" s="719"/>
      <c r="C19" s="720"/>
      <c r="D19" s="720"/>
      <c r="E19" s="720"/>
      <c r="F19" s="721"/>
      <c r="G19" s="721"/>
      <c r="H19" s="721"/>
      <c r="I19" s="1141"/>
      <c r="J19" s="1141"/>
      <c r="K19" s="719"/>
      <c r="L19" s="719"/>
      <c r="M19" s="719"/>
      <c r="N19" s="719"/>
      <c r="O19" s="727" t="s">
        <v>1205</v>
      </c>
      <c r="P19" s="1178" t="s">
        <v>1213</v>
      </c>
      <c r="Q19" s="1178"/>
      <c r="R19" s="728" t="s">
        <v>1203</v>
      </c>
      <c r="S19" s="1173" t="s">
        <v>1187</v>
      </c>
      <c r="T19" s="1173"/>
      <c r="U19" s="1173"/>
      <c r="V19" s="1174"/>
      <c r="W19" s="719"/>
      <c r="X19" s="719"/>
    </row>
    <row r="20" spans="1:24" x14ac:dyDescent="0.25">
      <c r="A20" s="719"/>
      <c r="B20" s="719"/>
      <c r="C20" s="1156" t="s">
        <v>942</v>
      </c>
      <c r="D20" s="1157"/>
      <c r="E20" s="1157"/>
      <c r="F20" s="1157" t="s">
        <v>932</v>
      </c>
      <c r="G20" s="1157"/>
      <c r="H20" s="1157"/>
      <c r="I20" s="1192" t="s">
        <v>933</v>
      </c>
      <c r="J20" s="1193"/>
      <c r="K20" s="719"/>
      <c r="L20" s="719"/>
      <c r="M20" s="719"/>
      <c r="N20" s="719"/>
      <c r="O20" s="727"/>
      <c r="P20" s="1160"/>
      <c r="Q20" s="1160"/>
      <c r="R20" s="728"/>
      <c r="S20" s="1173"/>
      <c r="T20" s="1173"/>
      <c r="U20" s="1173"/>
      <c r="V20" s="1174"/>
      <c r="W20" s="719"/>
      <c r="X20" s="719"/>
    </row>
    <row r="21" spans="1:24" ht="15.75" thickBot="1" x14ac:dyDescent="0.3">
      <c r="A21" s="719"/>
      <c r="B21" s="719"/>
      <c r="C21" s="1194" t="s">
        <v>1214</v>
      </c>
      <c r="D21" s="1195"/>
      <c r="E21" s="1195"/>
      <c r="F21" s="1195" t="s">
        <v>1215</v>
      </c>
      <c r="G21" s="1195"/>
      <c r="H21" s="1195"/>
      <c r="I21" s="1196" t="s">
        <v>1213</v>
      </c>
      <c r="J21" s="1197"/>
      <c r="K21" s="719"/>
      <c r="L21" s="719"/>
      <c r="M21" s="719"/>
      <c r="N21" s="719"/>
      <c r="O21" s="727"/>
      <c r="P21" s="1160"/>
      <c r="Q21" s="1160"/>
      <c r="R21" s="728"/>
      <c r="S21" s="1173"/>
      <c r="T21" s="1173"/>
      <c r="U21" s="1173"/>
      <c r="V21" s="1174"/>
      <c r="W21" s="719"/>
      <c r="X21" s="719"/>
    </row>
    <row r="22" spans="1:24" x14ac:dyDescent="0.25">
      <c r="A22" s="719"/>
      <c r="B22" s="719"/>
      <c r="C22" s="730"/>
      <c r="D22" s="721"/>
      <c r="E22" s="721"/>
      <c r="F22" s="730"/>
      <c r="G22" s="721"/>
      <c r="H22" s="721"/>
      <c r="I22" s="730"/>
      <c r="J22" s="730"/>
      <c r="K22" s="719"/>
      <c r="L22" s="719"/>
      <c r="M22" s="719"/>
      <c r="N22" s="719"/>
      <c r="O22" s="727"/>
      <c r="P22" s="1160"/>
      <c r="Q22" s="1160"/>
      <c r="R22" s="728"/>
      <c r="S22" s="1173"/>
      <c r="T22" s="1173"/>
      <c r="U22" s="1173"/>
      <c r="V22" s="1174"/>
      <c r="W22" s="719"/>
      <c r="X22" s="719"/>
    </row>
    <row r="23" spans="1:24" x14ac:dyDescent="0.25">
      <c r="A23" s="719"/>
      <c r="B23" s="719"/>
      <c r="C23" s="720"/>
      <c r="D23" s="720"/>
      <c r="E23" s="720"/>
      <c r="F23" s="721"/>
      <c r="G23" s="721"/>
      <c r="H23" s="721"/>
      <c r="I23" s="731"/>
      <c r="J23" s="731"/>
      <c r="K23" s="719"/>
      <c r="L23" s="719"/>
      <c r="M23" s="719"/>
      <c r="N23" s="719"/>
      <c r="O23" s="727"/>
      <c r="P23" s="1160"/>
      <c r="Q23" s="1160"/>
      <c r="R23" s="728"/>
      <c r="S23" s="1171"/>
      <c r="T23" s="1171"/>
      <c r="U23" s="1171"/>
      <c r="V23" s="1172"/>
      <c r="W23" s="719"/>
      <c r="X23" s="719"/>
    </row>
    <row r="24" spans="1:24" x14ac:dyDescent="0.25">
      <c r="A24" s="719"/>
      <c r="B24" s="721"/>
      <c r="C24" s="721"/>
      <c r="D24" s="721"/>
      <c r="E24" s="721"/>
      <c r="F24" s="721"/>
      <c r="G24" s="721"/>
      <c r="H24" s="721"/>
      <c r="I24" s="721"/>
      <c r="J24" s="721"/>
      <c r="K24" s="719"/>
      <c r="L24" s="719"/>
      <c r="M24" s="719"/>
      <c r="N24" s="719"/>
      <c r="O24" s="727"/>
      <c r="P24" s="1160"/>
      <c r="Q24" s="1160"/>
      <c r="R24" s="728"/>
      <c r="S24" s="1171"/>
      <c r="T24" s="1171"/>
      <c r="U24" s="1171"/>
      <c r="V24" s="1172"/>
      <c r="W24" s="719"/>
      <c r="X24" s="719"/>
    </row>
    <row r="25" spans="1:24" x14ac:dyDescent="0.25">
      <c r="A25" s="719"/>
      <c r="B25" s="719"/>
      <c r="C25" s="719"/>
      <c r="D25" s="719"/>
      <c r="E25" s="719"/>
      <c r="F25" s="719"/>
      <c r="G25" s="719"/>
      <c r="H25" s="719"/>
      <c r="I25" s="719"/>
      <c r="J25" s="719"/>
      <c r="K25" s="719"/>
      <c r="L25" s="719"/>
      <c r="M25" s="719"/>
      <c r="N25" s="719"/>
      <c r="O25" s="727"/>
      <c r="P25" s="1160"/>
      <c r="Q25" s="1160"/>
      <c r="R25" s="728"/>
      <c r="S25" s="1171"/>
      <c r="T25" s="1171"/>
      <c r="U25" s="1171"/>
      <c r="V25" s="1172"/>
      <c r="W25" s="719"/>
      <c r="X25" s="719"/>
    </row>
    <row r="26" spans="1:24" x14ac:dyDescent="0.25">
      <c r="A26" s="719"/>
      <c r="B26" s="719"/>
      <c r="C26" s="719"/>
      <c r="D26" s="719"/>
      <c r="E26" s="719"/>
      <c r="F26" s="719"/>
      <c r="G26" s="719"/>
      <c r="H26" s="719"/>
      <c r="I26" s="719"/>
      <c r="J26" s="719"/>
      <c r="K26" s="719"/>
      <c r="L26" s="719"/>
      <c r="M26" s="719"/>
      <c r="N26" s="719"/>
      <c r="O26" s="727"/>
      <c r="P26" s="1160"/>
      <c r="Q26" s="1160"/>
      <c r="R26" s="728"/>
      <c r="S26" s="1171"/>
      <c r="T26" s="1171"/>
      <c r="U26" s="1171"/>
      <c r="V26" s="1172"/>
      <c r="W26" s="719"/>
      <c r="X26" s="719"/>
    </row>
    <row r="27" spans="1:24" x14ac:dyDescent="0.25">
      <c r="A27" s="719"/>
      <c r="B27" s="719"/>
      <c r="C27" s="719"/>
      <c r="D27" s="719"/>
      <c r="E27" s="719"/>
      <c r="F27" s="719"/>
      <c r="G27" s="719"/>
      <c r="H27" s="719"/>
      <c r="I27" s="719"/>
      <c r="J27" s="719"/>
      <c r="K27" s="719"/>
      <c r="L27" s="719"/>
      <c r="M27" s="719"/>
      <c r="N27" s="719"/>
      <c r="O27" s="727"/>
      <c r="P27" s="1160"/>
      <c r="Q27" s="1160"/>
      <c r="R27" s="728"/>
      <c r="S27" s="1171"/>
      <c r="T27" s="1171"/>
      <c r="U27" s="1171"/>
      <c r="V27" s="1172"/>
      <c r="W27" s="719"/>
      <c r="X27" s="719"/>
    </row>
    <row r="28" spans="1:24" x14ac:dyDescent="0.25">
      <c r="A28" s="719"/>
      <c r="B28" s="719"/>
      <c r="C28" s="719"/>
      <c r="D28" s="719"/>
      <c r="E28" s="719"/>
      <c r="F28" s="719"/>
      <c r="G28" s="719"/>
      <c r="H28" s="719"/>
      <c r="I28" s="719"/>
      <c r="J28" s="719"/>
      <c r="K28" s="719"/>
      <c r="L28" s="719"/>
      <c r="M28" s="719"/>
      <c r="N28" s="719"/>
      <c r="O28" s="727"/>
      <c r="P28" s="1160"/>
      <c r="Q28" s="1160"/>
      <c r="R28" s="728"/>
      <c r="S28" s="1171"/>
      <c r="T28" s="1171"/>
      <c r="U28" s="1171"/>
      <c r="V28" s="1172"/>
      <c r="W28" s="719"/>
      <c r="X28" s="719"/>
    </row>
    <row r="29" spans="1:24" x14ac:dyDescent="0.25">
      <c r="A29" s="719"/>
      <c r="B29" s="719"/>
      <c r="C29" s="719"/>
      <c r="D29" s="719"/>
      <c r="E29" s="719"/>
      <c r="F29" s="719"/>
      <c r="G29" s="719"/>
      <c r="H29" s="719"/>
      <c r="I29" s="719"/>
      <c r="J29" s="719"/>
      <c r="K29" s="719"/>
      <c r="L29" s="719"/>
      <c r="M29" s="719"/>
      <c r="N29" s="719"/>
      <c r="O29" s="727"/>
      <c r="P29" s="1160"/>
      <c r="Q29" s="1160"/>
      <c r="R29" s="728"/>
      <c r="S29" s="1171"/>
      <c r="T29" s="1171"/>
      <c r="U29" s="1171"/>
      <c r="V29" s="1172"/>
      <c r="W29" s="719"/>
      <c r="X29" s="719"/>
    </row>
    <row r="30" spans="1:24" x14ac:dyDescent="0.25">
      <c r="A30" s="719"/>
      <c r="B30" s="719"/>
      <c r="C30" s="719"/>
      <c r="D30" s="719"/>
      <c r="E30" s="719"/>
      <c r="F30" s="719"/>
      <c r="G30" s="719"/>
      <c r="H30" s="719"/>
      <c r="I30" s="719"/>
      <c r="J30" s="719"/>
      <c r="K30" s="719"/>
      <c r="L30" s="719"/>
      <c r="M30" s="719"/>
      <c r="N30" s="719"/>
      <c r="O30" s="727"/>
      <c r="P30" s="1160"/>
      <c r="Q30" s="1160"/>
      <c r="R30" s="728"/>
      <c r="S30" s="1171"/>
      <c r="T30" s="1171"/>
      <c r="U30" s="1171"/>
      <c r="V30" s="1172"/>
      <c r="W30" s="719"/>
      <c r="X30" s="719"/>
    </row>
    <row r="31" spans="1:24" x14ac:dyDescent="0.25">
      <c r="A31" s="719"/>
      <c r="B31" s="719"/>
      <c r="C31" s="719"/>
      <c r="D31" s="719"/>
      <c r="E31" s="719"/>
      <c r="F31" s="719"/>
      <c r="G31" s="719"/>
      <c r="H31" s="719"/>
      <c r="I31" s="719"/>
      <c r="J31" s="719"/>
      <c r="K31" s="719"/>
      <c r="L31" s="719"/>
      <c r="M31" s="719"/>
      <c r="N31" s="719"/>
      <c r="O31" s="727"/>
      <c r="P31" s="1160"/>
      <c r="Q31" s="1160"/>
      <c r="R31" s="728"/>
      <c r="S31" s="1171"/>
      <c r="T31" s="1171"/>
      <c r="U31" s="1171"/>
      <c r="V31" s="1172"/>
      <c r="W31" s="719"/>
      <c r="X31" s="719"/>
    </row>
    <row r="32" spans="1:24" x14ac:dyDescent="0.25">
      <c r="A32" s="719"/>
      <c r="B32" s="719"/>
      <c r="C32" s="719"/>
      <c r="D32" s="719"/>
      <c r="E32" s="719"/>
      <c r="F32" s="719"/>
      <c r="G32" s="719"/>
      <c r="H32" s="719"/>
      <c r="I32" s="719"/>
      <c r="J32" s="719"/>
      <c r="K32" s="719"/>
      <c r="L32" s="719"/>
      <c r="M32" s="719"/>
      <c r="N32" s="719"/>
      <c r="O32" s="727"/>
      <c r="P32" s="1160"/>
      <c r="Q32" s="1160"/>
      <c r="R32" s="728"/>
      <c r="S32" s="1171"/>
      <c r="T32" s="1171"/>
      <c r="U32" s="1171"/>
      <c r="V32" s="1172"/>
      <c r="W32" s="719"/>
      <c r="X32" s="719"/>
    </row>
    <row r="33" spans="1:24" x14ac:dyDescent="0.25">
      <c r="A33" s="719"/>
      <c r="B33" s="719"/>
      <c r="C33" s="719"/>
      <c r="D33" s="719"/>
      <c r="E33" s="719"/>
      <c r="F33" s="719"/>
      <c r="G33" s="719"/>
      <c r="H33" s="719"/>
      <c r="I33" s="719"/>
      <c r="J33" s="719"/>
      <c r="K33" s="719"/>
      <c r="L33" s="719"/>
      <c r="M33" s="719"/>
      <c r="N33" s="719"/>
      <c r="O33" s="727"/>
      <c r="P33" s="1160"/>
      <c r="Q33" s="1160"/>
      <c r="R33" s="728"/>
      <c r="S33" s="1171"/>
      <c r="T33" s="1171"/>
      <c r="U33" s="1171"/>
      <c r="V33" s="1172"/>
      <c r="W33" s="719"/>
      <c r="X33" s="719"/>
    </row>
    <row r="34" spans="1:24" x14ac:dyDescent="0.25">
      <c r="A34" s="719"/>
      <c r="B34" s="719"/>
      <c r="C34" s="719"/>
      <c r="D34" s="719"/>
      <c r="E34" s="719"/>
      <c r="F34" s="719"/>
      <c r="G34" s="719"/>
      <c r="H34" s="719"/>
      <c r="I34" s="719"/>
      <c r="J34" s="719"/>
      <c r="K34" s="719"/>
      <c r="L34" s="719"/>
      <c r="M34" s="719"/>
      <c r="N34" s="719"/>
      <c r="O34" s="727"/>
      <c r="P34" s="1160"/>
      <c r="Q34" s="1160"/>
      <c r="R34" s="728"/>
      <c r="S34" s="1171"/>
      <c r="T34" s="1171"/>
      <c r="U34" s="1171"/>
      <c r="V34" s="1172"/>
      <c r="W34" s="719"/>
      <c r="X34" s="719"/>
    </row>
    <row r="35" spans="1:24" ht="15.75" thickBot="1" x14ac:dyDescent="0.3">
      <c r="A35" s="719"/>
      <c r="B35" s="719"/>
      <c r="C35" s="719"/>
      <c r="D35" s="719"/>
      <c r="E35" s="719"/>
      <c r="F35" s="719"/>
      <c r="G35" s="719"/>
      <c r="H35" s="719"/>
      <c r="I35" s="719"/>
      <c r="J35" s="719"/>
      <c r="K35" s="719"/>
      <c r="L35" s="719"/>
      <c r="M35" s="719"/>
      <c r="N35" s="719"/>
      <c r="O35" s="732"/>
      <c r="P35" s="1168"/>
      <c r="Q35" s="1168"/>
      <c r="R35" s="733"/>
      <c r="S35" s="1200"/>
      <c r="T35" s="1200"/>
      <c r="U35" s="1200"/>
      <c r="V35" s="1201"/>
      <c r="W35" s="719"/>
      <c r="X35" s="719"/>
    </row>
    <row r="36" spans="1:24" x14ac:dyDescent="0.25">
      <c r="A36" s="719"/>
      <c r="B36" s="719"/>
      <c r="C36" s="719"/>
      <c r="D36" s="719"/>
      <c r="E36" s="719"/>
      <c r="F36" s="719"/>
      <c r="G36" s="719"/>
      <c r="H36" s="719"/>
      <c r="I36" s="719"/>
      <c r="J36" s="719"/>
      <c r="K36" s="719"/>
      <c r="L36" s="719"/>
      <c r="M36" s="719"/>
      <c r="N36" s="719"/>
      <c r="O36" s="719"/>
      <c r="P36" s="719"/>
      <c r="Q36" s="719"/>
      <c r="R36" s="719"/>
      <c r="S36" s="719"/>
      <c r="T36" s="719"/>
      <c r="U36" s="719"/>
      <c r="V36" s="719"/>
      <c r="W36" s="719"/>
      <c r="X36" s="719"/>
    </row>
    <row r="37" spans="1:24" x14ac:dyDescent="0.25">
      <c r="A37" s="719"/>
      <c r="B37" s="719"/>
      <c r="C37" s="719"/>
      <c r="D37" s="719"/>
      <c r="E37" s="719"/>
      <c r="F37" s="719"/>
      <c r="G37" s="719"/>
      <c r="H37" s="719"/>
      <c r="I37" s="719"/>
      <c r="J37" s="719"/>
      <c r="K37" s="719"/>
      <c r="L37" s="719"/>
      <c r="M37" s="719"/>
      <c r="N37" s="719"/>
      <c r="O37" s="719"/>
      <c r="P37" s="719"/>
      <c r="Q37" s="719"/>
      <c r="R37" s="719"/>
      <c r="S37" s="719"/>
      <c r="T37" s="719"/>
      <c r="U37" s="719"/>
      <c r="V37" s="719"/>
      <c r="W37" s="719"/>
      <c r="X37" s="719"/>
    </row>
    <row r="38" spans="1:24" x14ac:dyDescent="0.25">
      <c r="A38" s="719"/>
      <c r="B38" s="719"/>
      <c r="C38" s="719"/>
      <c r="D38" s="719"/>
      <c r="E38" s="719"/>
      <c r="F38" s="719"/>
      <c r="G38" s="719"/>
      <c r="H38" s="719"/>
      <c r="I38" s="719"/>
      <c r="J38" s="719"/>
      <c r="K38" s="719"/>
      <c r="L38" s="719"/>
      <c r="M38" s="719"/>
      <c r="N38" s="719"/>
      <c r="O38" s="719"/>
      <c r="P38" s="719"/>
      <c r="Q38" s="719"/>
      <c r="R38" s="719"/>
      <c r="S38" s="719"/>
      <c r="T38" s="719"/>
      <c r="U38" s="719"/>
      <c r="V38" s="719"/>
      <c r="W38" s="719"/>
      <c r="X38" s="719"/>
    </row>
    <row r="39" spans="1:24" x14ac:dyDescent="0.25">
      <c r="A39" s="719"/>
      <c r="B39" s="719"/>
      <c r="K39" s="719"/>
      <c r="L39" s="719"/>
      <c r="M39" s="719"/>
      <c r="N39" s="719"/>
      <c r="O39" s="719"/>
      <c r="P39" s="719"/>
      <c r="Q39" s="719"/>
      <c r="R39" s="719"/>
      <c r="S39" s="719"/>
      <c r="T39" s="719"/>
      <c r="U39" s="719"/>
      <c r="V39" s="719"/>
      <c r="W39" s="719"/>
      <c r="X39" s="719"/>
    </row>
    <row r="40" spans="1:24" x14ac:dyDescent="0.25">
      <c r="A40" s="719"/>
      <c r="B40" s="719"/>
      <c r="C40" s="719"/>
      <c r="D40" s="719"/>
      <c r="E40" s="719"/>
      <c r="F40" s="719"/>
      <c r="G40" s="719"/>
      <c r="H40" s="719"/>
      <c r="I40" s="719"/>
      <c r="J40" s="719"/>
      <c r="K40" s="719"/>
      <c r="L40" s="719"/>
      <c r="M40" s="719"/>
      <c r="N40" s="719"/>
      <c r="O40" s="719"/>
      <c r="P40" s="719"/>
      <c r="Q40" s="719"/>
      <c r="R40" s="719"/>
      <c r="S40" s="719"/>
      <c r="T40" s="719"/>
      <c r="U40" s="719"/>
      <c r="V40" s="719"/>
      <c r="W40" s="719"/>
      <c r="X40" s="719"/>
    </row>
    <row r="41" spans="1:24" x14ac:dyDescent="0.25">
      <c r="A41" s="719"/>
      <c r="B41" s="719"/>
      <c r="C41" s="719"/>
      <c r="D41" s="719"/>
      <c r="E41" s="719"/>
      <c r="F41" s="719"/>
      <c r="G41" s="719"/>
      <c r="H41" s="719"/>
      <c r="I41" s="719"/>
      <c r="J41" s="719"/>
      <c r="K41" s="719"/>
      <c r="L41" s="719"/>
      <c r="M41" s="719"/>
      <c r="N41" s="719"/>
      <c r="O41" s="719"/>
      <c r="P41" s="719"/>
      <c r="Q41" s="719"/>
      <c r="R41" s="719"/>
      <c r="S41" s="719"/>
      <c r="T41" s="719"/>
      <c r="U41" s="719"/>
      <c r="V41" s="719"/>
      <c r="W41" s="719"/>
      <c r="X41" s="719"/>
    </row>
    <row r="42" spans="1:24" x14ac:dyDescent="0.25">
      <c r="A42" s="719"/>
      <c r="B42" s="719"/>
      <c r="C42" s="1202" t="s">
        <v>943</v>
      </c>
      <c r="D42" s="1202"/>
      <c r="E42" s="1202"/>
      <c r="F42" s="1202"/>
      <c r="G42" s="1202"/>
      <c r="H42" s="1202"/>
      <c r="I42" s="1202"/>
      <c r="J42" s="1202"/>
      <c r="K42" s="719"/>
      <c r="L42" s="719"/>
      <c r="M42" s="719"/>
      <c r="N42" s="719"/>
      <c r="O42" s="719"/>
      <c r="P42" s="719"/>
      <c r="Q42" s="719"/>
      <c r="R42" s="719"/>
      <c r="S42" s="719"/>
      <c r="T42" s="719"/>
      <c r="U42" s="719"/>
      <c r="V42" s="719"/>
      <c r="W42" s="719"/>
      <c r="X42" s="719"/>
    </row>
    <row r="43" spans="1:24" x14ac:dyDescent="0.25">
      <c r="A43" s="719"/>
      <c r="B43" s="719"/>
      <c r="C43" s="1117"/>
      <c r="D43" s="1117"/>
      <c r="E43" s="1117"/>
      <c r="F43" s="1117"/>
      <c r="G43" s="1117"/>
      <c r="H43" s="1117"/>
      <c r="I43" s="1117"/>
      <c r="J43" s="1117"/>
      <c r="K43" s="719"/>
      <c r="L43" s="719"/>
      <c r="M43" s="719"/>
      <c r="N43" s="719"/>
      <c r="O43" s="719"/>
      <c r="P43" s="719"/>
      <c r="Q43" s="719"/>
      <c r="R43" s="719"/>
      <c r="S43" s="719"/>
      <c r="T43" s="719"/>
      <c r="U43" s="719"/>
      <c r="V43" s="719"/>
      <c r="W43" s="719"/>
      <c r="X43" s="719"/>
    </row>
    <row r="44" spans="1:24" x14ac:dyDescent="0.25">
      <c r="A44" s="719"/>
      <c r="B44" s="719"/>
      <c r="C44" s="1198" t="s">
        <v>1188</v>
      </c>
      <c r="D44" s="1199"/>
      <c r="E44" s="1199"/>
      <c r="F44" s="1199"/>
      <c r="G44" s="1199"/>
      <c r="H44" s="1199"/>
      <c r="I44" s="1199"/>
      <c r="J44" s="1199"/>
      <c r="K44" s="719"/>
      <c r="L44" s="719"/>
      <c r="M44" s="719"/>
      <c r="N44" s="719"/>
      <c r="O44" s="719"/>
      <c r="P44" s="719"/>
      <c r="Q44" s="719"/>
      <c r="R44" s="719"/>
      <c r="S44" s="719"/>
      <c r="T44" s="719"/>
      <c r="U44" s="719"/>
      <c r="V44" s="719"/>
      <c r="W44" s="719"/>
      <c r="X44" s="719"/>
    </row>
    <row r="45" spans="1:24" x14ac:dyDescent="0.25">
      <c r="A45" s="719"/>
      <c r="B45" s="719"/>
      <c r="C45" s="1199"/>
      <c r="D45" s="1199"/>
      <c r="E45" s="1199"/>
      <c r="F45" s="1199"/>
      <c r="G45" s="1199"/>
      <c r="H45" s="1199"/>
      <c r="I45" s="1199"/>
      <c r="J45" s="1199"/>
      <c r="K45" s="719"/>
      <c r="L45" s="719"/>
      <c r="M45" s="719"/>
      <c r="N45" s="719"/>
      <c r="O45" s="719"/>
      <c r="P45" s="719"/>
      <c r="Q45" s="719"/>
      <c r="R45" s="719"/>
      <c r="S45" s="719"/>
      <c r="T45" s="719"/>
      <c r="U45" s="719"/>
      <c r="V45" s="719"/>
      <c r="W45" s="719"/>
      <c r="X45" s="719"/>
    </row>
    <row r="46" spans="1:24" x14ac:dyDescent="0.25">
      <c r="A46" s="719"/>
      <c r="B46" s="719"/>
      <c r="C46" s="1199"/>
      <c r="D46" s="1199"/>
      <c r="E46" s="1199"/>
      <c r="F46" s="1199"/>
      <c r="G46" s="1199"/>
      <c r="H46" s="1199"/>
      <c r="I46" s="1199"/>
      <c r="J46" s="1199"/>
      <c r="K46" s="719"/>
      <c r="L46" s="719"/>
      <c r="M46" s="719"/>
      <c r="N46" s="719"/>
      <c r="O46" s="719"/>
      <c r="P46" s="719"/>
      <c r="Q46" s="719"/>
      <c r="R46" s="719"/>
      <c r="S46" s="719"/>
      <c r="T46" s="719"/>
      <c r="U46" s="719"/>
      <c r="V46" s="719"/>
      <c r="W46" s="719"/>
      <c r="X46" s="719"/>
    </row>
    <row r="47" spans="1:24" x14ac:dyDescent="0.25">
      <c r="A47" s="719"/>
      <c r="B47" s="720"/>
      <c r="C47" s="720"/>
      <c r="D47" s="720"/>
      <c r="E47" s="719"/>
      <c r="F47" s="719"/>
      <c r="G47" s="719"/>
      <c r="H47" s="719"/>
      <c r="I47" s="719"/>
      <c r="J47" s="719"/>
      <c r="K47" s="719"/>
      <c r="L47" s="720"/>
      <c r="M47" s="720"/>
      <c r="N47" s="720"/>
      <c r="O47" s="719"/>
      <c r="P47" s="719"/>
      <c r="Q47" s="719"/>
      <c r="R47" s="719"/>
      <c r="S47" s="719"/>
      <c r="T47" s="719"/>
      <c r="U47" s="719"/>
      <c r="V47" s="719"/>
      <c r="W47" s="719"/>
      <c r="X47" s="719"/>
    </row>
    <row r="48" spans="1:24" x14ac:dyDescent="0.25">
      <c r="A48" s="719"/>
      <c r="B48" s="719"/>
      <c r="C48" s="734"/>
      <c r="D48" s="719"/>
      <c r="E48" s="719"/>
      <c r="F48" s="719"/>
      <c r="G48" s="719"/>
      <c r="H48" s="719"/>
      <c r="I48" s="719"/>
      <c r="J48" s="719"/>
      <c r="K48" s="719"/>
      <c r="L48" s="719"/>
      <c r="M48" s="719"/>
      <c r="N48" s="719"/>
      <c r="O48" s="734"/>
      <c r="P48" s="719"/>
      <c r="Q48" s="719"/>
      <c r="R48" s="719"/>
      <c r="S48" s="719"/>
      <c r="T48" s="719"/>
      <c r="U48" s="719"/>
      <c r="V48" s="719"/>
      <c r="W48" s="719"/>
      <c r="X48" s="719"/>
    </row>
    <row r="49" spans="1:12" x14ac:dyDescent="0.25">
      <c r="A49" s="719"/>
      <c r="B49" s="719"/>
      <c r="C49" s="719"/>
      <c r="D49" s="719"/>
      <c r="E49" s="719"/>
      <c r="F49" s="719"/>
      <c r="G49" s="719"/>
      <c r="H49" s="719"/>
      <c r="I49" s="719"/>
      <c r="J49" s="719"/>
      <c r="K49" s="719"/>
      <c r="L49" s="719"/>
    </row>
    <row r="50" spans="1:12" x14ac:dyDescent="0.25">
      <c r="B50" s="735"/>
    </row>
    <row r="53" spans="1:12" x14ac:dyDescent="0.25">
      <c r="B53" s="735"/>
    </row>
    <row r="57" spans="1:12" x14ac:dyDescent="0.25">
      <c r="B57" s="735"/>
    </row>
  </sheetData>
  <mergeCells count="98">
    <mergeCell ref="C44:J46"/>
    <mergeCell ref="P29:Q29"/>
    <mergeCell ref="S29:V29"/>
    <mergeCell ref="P30:Q30"/>
    <mergeCell ref="S30:V30"/>
    <mergeCell ref="P31:Q31"/>
    <mergeCell ref="S31:V31"/>
    <mergeCell ref="P35:Q35"/>
    <mergeCell ref="S35:V35"/>
    <mergeCell ref="C42:J42"/>
    <mergeCell ref="P32:Q32"/>
    <mergeCell ref="S32:V32"/>
    <mergeCell ref="P33:Q33"/>
    <mergeCell ref="S33:V33"/>
    <mergeCell ref="P34:Q34"/>
    <mergeCell ref="S34:V34"/>
    <mergeCell ref="P26:Q26"/>
    <mergeCell ref="S26:V26"/>
    <mergeCell ref="P27:Q27"/>
    <mergeCell ref="S27:V27"/>
    <mergeCell ref="P28:Q28"/>
    <mergeCell ref="S28:V28"/>
    <mergeCell ref="P23:Q23"/>
    <mergeCell ref="S23:V23"/>
    <mergeCell ref="P24:Q24"/>
    <mergeCell ref="S24:V24"/>
    <mergeCell ref="P25:Q25"/>
    <mergeCell ref="S25:V25"/>
    <mergeCell ref="P22:Q22"/>
    <mergeCell ref="S22:V22"/>
    <mergeCell ref="P19:Q19"/>
    <mergeCell ref="S19:V19"/>
    <mergeCell ref="C20:E20"/>
    <mergeCell ref="F20:H20"/>
    <mergeCell ref="I20:J20"/>
    <mergeCell ref="P20:Q20"/>
    <mergeCell ref="S20:V20"/>
    <mergeCell ref="C21:E21"/>
    <mergeCell ref="F21:H21"/>
    <mergeCell ref="I21:J21"/>
    <mergeCell ref="P21:Q21"/>
    <mergeCell ref="S21:V21"/>
    <mergeCell ref="C17:E17"/>
    <mergeCell ref="F17:H17"/>
    <mergeCell ref="I17:J17"/>
    <mergeCell ref="P17:Q17"/>
    <mergeCell ref="S17:V17"/>
    <mergeCell ref="C18:E18"/>
    <mergeCell ref="F18:H18"/>
    <mergeCell ref="I18:J18"/>
    <mergeCell ref="P18:Q18"/>
    <mergeCell ref="S18:V18"/>
    <mergeCell ref="C15:E15"/>
    <mergeCell ref="F15:H15"/>
    <mergeCell ref="I15:J15"/>
    <mergeCell ref="P15:Q15"/>
    <mergeCell ref="S15:V15"/>
    <mergeCell ref="C16:E16"/>
    <mergeCell ref="F16:H16"/>
    <mergeCell ref="I16:J16"/>
    <mergeCell ref="P16:Q16"/>
    <mergeCell ref="S16:V16"/>
    <mergeCell ref="C14:E14"/>
    <mergeCell ref="F14:H14"/>
    <mergeCell ref="I14:J14"/>
    <mergeCell ref="P14:Q14"/>
    <mergeCell ref="S14:V14"/>
    <mergeCell ref="P13:Q13"/>
    <mergeCell ref="S13:V13"/>
    <mergeCell ref="C11:E11"/>
    <mergeCell ref="F11:H11"/>
    <mergeCell ref="I11:J11"/>
    <mergeCell ref="C12:E12"/>
    <mergeCell ref="F12:H12"/>
    <mergeCell ref="I12:J12"/>
    <mergeCell ref="P12:Q12"/>
    <mergeCell ref="S12:V12"/>
    <mergeCell ref="P11:Q11"/>
    <mergeCell ref="S11:V11"/>
    <mergeCell ref="C8:J8"/>
    <mergeCell ref="O8:V8"/>
    <mergeCell ref="C10:E10"/>
    <mergeCell ref="F10:H10"/>
    <mergeCell ref="I10:J10"/>
    <mergeCell ref="P10:Q10"/>
    <mergeCell ref="S10:V10"/>
    <mergeCell ref="V2:W2"/>
    <mergeCell ref="E3:F3"/>
    <mergeCell ref="C2:D3"/>
    <mergeCell ref="G3:I3"/>
    <mergeCell ref="J3:K3"/>
    <mergeCell ref="Q3:R3"/>
    <mergeCell ref="S3:U3"/>
    <mergeCell ref="V3:W3"/>
    <mergeCell ref="E2:I2"/>
    <mergeCell ref="J2:K2"/>
    <mergeCell ref="O2:P3"/>
    <mergeCell ref="Q2:U2"/>
  </mergeCells>
  <pageMargins left="0.7" right="0.7" top="0.75" bottom="0.75" header="0.3" footer="0.3"/>
  <pageSetup scale="93" pageOrder="overThenDown" orientation="portrait" r:id="rId1"/>
  <headerFooter>
    <oddFooter>&amp;L&amp;8&amp;K00-013Template NEON.DOC.004245 Rev G – 02/25/2015</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3"/>
  <sheetViews>
    <sheetView showZeros="0" zoomScale="85" zoomScaleNormal="85" workbookViewId="0">
      <selection activeCell="F45" sqref="F45"/>
    </sheetView>
  </sheetViews>
  <sheetFormatPr defaultRowHeight="15" x14ac:dyDescent="0.25"/>
  <cols>
    <col min="1" max="1" width="13.5703125" style="2" customWidth="1"/>
    <col min="2" max="2" width="15.42578125" customWidth="1"/>
    <col min="3" max="3" width="87.42578125" customWidth="1"/>
    <col min="5" max="5" width="16.28515625" customWidth="1"/>
    <col min="6" max="6" width="12.7109375" customWidth="1"/>
    <col min="19" max="19" width="14.140625" customWidth="1"/>
  </cols>
  <sheetData>
    <row r="1" spans="1:18" x14ac:dyDescent="0.25">
      <c r="A1" s="1224" t="s">
        <v>1029</v>
      </c>
      <c r="B1" s="1218" t="s">
        <v>136</v>
      </c>
      <c r="C1" s="1210" t="s">
        <v>23</v>
      </c>
      <c r="D1" s="1203" t="s">
        <v>865</v>
      </c>
      <c r="E1" s="1205" t="s">
        <v>135</v>
      </c>
      <c r="F1" s="1203" t="s">
        <v>1034</v>
      </c>
      <c r="G1" s="487" t="s">
        <v>266</v>
      </c>
      <c r="H1" s="100" t="s">
        <v>266</v>
      </c>
      <c r="I1" s="101" t="s">
        <v>259</v>
      </c>
      <c r="J1" s="100" t="s">
        <v>259</v>
      </c>
      <c r="K1" s="103" t="s">
        <v>257</v>
      </c>
      <c r="L1" s="106" t="s">
        <v>258</v>
      </c>
      <c r="M1" s="104" t="s">
        <v>251</v>
      </c>
      <c r="N1" s="106" t="s">
        <v>260</v>
      </c>
      <c r="O1" s="102" t="s">
        <v>264</v>
      </c>
      <c r="P1" s="106" t="s">
        <v>263</v>
      </c>
      <c r="Q1" s="106" t="s">
        <v>262</v>
      </c>
      <c r="R1" s="104" t="s">
        <v>265</v>
      </c>
    </row>
    <row r="2" spans="1:18" ht="15.75" thickBot="1" x14ac:dyDescent="0.3">
      <c r="A2" s="1225"/>
      <c r="B2" s="1219"/>
      <c r="C2" s="1211"/>
      <c r="D2" s="1204"/>
      <c r="E2" s="1206"/>
      <c r="F2" s="1204"/>
      <c r="G2" s="488" t="s">
        <v>20</v>
      </c>
      <c r="H2" s="326" t="s">
        <v>21</v>
      </c>
      <c r="I2" s="328" t="s">
        <v>133</v>
      </c>
      <c r="J2" s="326" t="s">
        <v>132</v>
      </c>
      <c r="K2" s="328" t="s">
        <v>228</v>
      </c>
      <c r="L2" s="326" t="s">
        <v>98</v>
      </c>
      <c r="M2" s="327" t="s">
        <v>220</v>
      </c>
      <c r="N2" s="326" t="s">
        <v>208</v>
      </c>
      <c r="O2" s="329" t="s">
        <v>233</v>
      </c>
      <c r="P2" s="326" t="s">
        <v>214</v>
      </c>
      <c r="Q2" s="326" t="s">
        <v>231</v>
      </c>
      <c r="R2" s="327" t="s">
        <v>234</v>
      </c>
    </row>
    <row r="3" spans="1:18" s="950" customFormat="1" ht="15.75" thickTop="1" x14ac:dyDescent="0.25">
      <c r="A3" s="1225"/>
      <c r="B3" s="1207" t="s">
        <v>67</v>
      </c>
      <c r="C3" s="72" t="s">
        <v>173</v>
      </c>
      <c r="D3" s="95">
        <v>1</v>
      </c>
      <c r="E3" s="111" t="s">
        <v>469</v>
      </c>
      <c r="F3" s="65">
        <v>47</v>
      </c>
      <c r="G3" s="244">
        <v>1</v>
      </c>
      <c r="H3" s="239">
        <v>1</v>
      </c>
      <c r="I3" s="139">
        <v>1</v>
      </c>
      <c r="J3" s="239">
        <v>2</v>
      </c>
      <c r="K3" s="242">
        <v>1</v>
      </c>
      <c r="L3" s="239">
        <v>1</v>
      </c>
      <c r="M3" s="240">
        <v>2</v>
      </c>
      <c r="N3" s="239">
        <v>2</v>
      </c>
      <c r="O3" s="241">
        <v>1</v>
      </c>
      <c r="P3" s="239">
        <v>1</v>
      </c>
      <c r="Q3" s="239">
        <v>1</v>
      </c>
      <c r="R3" s="240">
        <v>1</v>
      </c>
    </row>
    <row r="4" spans="1:18" s="950" customFormat="1" x14ac:dyDescent="0.25">
      <c r="A4" s="1225"/>
      <c r="B4" s="1208"/>
      <c r="C4" s="69" t="s">
        <v>174</v>
      </c>
      <c r="D4" s="91">
        <v>1</v>
      </c>
      <c r="E4" s="85" t="s">
        <v>470</v>
      </c>
      <c r="F4" s="62">
        <v>23</v>
      </c>
      <c r="G4" s="225">
        <v>1</v>
      </c>
      <c r="H4" s="21">
        <v>1</v>
      </c>
      <c r="I4" s="134">
        <v>1</v>
      </c>
      <c r="J4" s="21">
        <v>0</v>
      </c>
      <c r="K4" s="16">
        <v>1</v>
      </c>
      <c r="L4" s="21">
        <v>1</v>
      </c>
      <c r="M4" s="222">
        <v>0</v>
      </c>
      <c r="N4" s="21">
        <v>0</v>
      </c>
      <c r="O4" s="223">
        <v>1</v>
      </c>
      <c r="P4" s="21">
        <v>1</v>
      </c>
      <c r="Q4" s="21">
        <v>1</v>
      </c>
      <c r="R4" s="222">
        <v>1</v>
      </c>
    </row>
    <row r="5" spans="1:18" s="950" customFormat="1" x14ac:dyDescent="0.25">
      <c r="A5" s="1225"/>
      <c r="B5" s="1208"/>
      <c r="C5" s="885" t="s">
        <v>496</v>
      </c>
      <c r="D5" s="231">
        <v>4</v>
      </c>
      <c r="E5" s="87" t="s">
        <v>530</v>
      </c>
      <c r="F5" s="231">
        <v>2</v>
      </c>
      <c r="G5" s="225">
        <v>0</v>
      </c>
      <c r="H5" s="21">
        <v>0</v>
      </c>
      <c r="I5" s="136">
        <v>0</v>
      </c>
      <c r="J5" s="21">
        <v>0</v>
      </c>
      <c r="K5" s="16">
        <v>0</v>
      </c>
      <c r="L5" s="21">
        <v>0</v>
      </c>
      <c r="M5" s="222">
        <v>0</v>
      </c>
      <c r="N5" s="21">
        <v>0</v>
      </c>
      <c r="O5" s="223">
        <v>0</v>
      </c>
      <c r="P5" s="21">
        <v>0</v>
      </c>
      <c r="Q5" s="21">
        <v>0</v>
      </c>
      <c r="R5" s="222">
        <v>0</v>
      </c>
    </row>
    <row r="6" spans="1:18" s="950" customFormat="1" ht="15.75" thickBot="1" x14ac:dyDescent="0.3">
      <c r="A6" s="1225"/>
      <c r="B6" s="1209"/>
      <c r="C6" s="81" t="s">
        <v>573</v>
      </c>
      <c r="D6" s="94">
        <v>4</v>
      </c>
      <c r="E6" s="88" t="s">
        <v>575</v>
      </c>
      <c r="F6" s="236">
        <v>1</v>
      </c>
      <c r="G6" s="238">
        <v>0</v>
      </c>
      <c r="H6" s="232">
        <v>0</v>
      </c>
      <c r="I6" s="138">
        <v>0</v>
      </c>
      <c r="J6" s="232">
        <v>0</v>
      </c>
      <c r="K6" s="235">
        <v>0</v>
      </c>
      <c r="L6" s="232">
        <v>0</v>
      </c>
      <c r="M6" s="233">
        <v>0</v>
      </c>
      <c r="N6" s="232">
        <v>0</v>
      </c>
      <c r="O6" s="234">
        <v>0</v>
      </c>
      <c r="P6" s="232">
        <v>0</v>
      </c>
      <c r="Q6" s="232">
        <v>0</v>
      </c>
      <c r="R6" s="233">
        <v>0</v>
      </c>
    </row>
    <row r="7" spans="1:18" ht="15.75" thickTop="1" x14ac:dyDescent="0.25">
      <c r="A7" s="1225"/>
      <c r="B7" s="1216" t="s">
        <v>31</v>
      </c>
      <c r="C7" s="57" t="s">
        <v>160</v>
      </c>
      <c r="D7" s="90">
        <v>1</v>
      </c>
      <c r="E7" s="84" t="s">
        <v>277</v>
      </c>
      <c r="F7" s="60">
        <v>8</v>
      </c>
      <c r="G7" s="215">
        <v>0</v>
      </c>
      <c r="H7" s="309">
        <v>0</v>
      </c>
      <c r="I7" s="134">
        <v>1</v>
      </c>
      <c r="J7" s="309">
        <v>1</v>
      </c>
      <c r="K7" s="39">
        <v>0</v>
      </c>
      <c r="L7" s="309">
        <v>0</v>
      </c>
      <c r="M7" s="212">
        <v>0</v>
      </c>
      <c r="N7" s="309">
        <v>1</v>
      </c>
      <c r="O7" s="213">
        <v>1</v>
      </c>
      <c r="P7" s="309">
        <v>0</v>
      </c>
      <c r="Q7" s="309">
        <v>0</v>
      </c>
      <c r="R7" s="212">
        <v>0</v>
      </c>
    </row>
    <row r="8" spans="1:18" x14ac:dyDescent="0.25">
      <c r="A8" s="1225"/>
      <c r="B8" s="1213"/>
      <c r="C8" s="69" t="s">
        <v>161</v>
      </c>
      <c r="D8" s="91">
        <v>1</v>
      </c>
      <c r="E8" s="85" t="s">
        <v>312</v>
      </c>
      <c r="F8" s="62">
        <v>17</v>
      </c>
      <c r="G8" s="225">
        <v>1</v>
      </c>
      <c r="H8" s="21">
        <v>1</v>
      </c>
      <c r="I8" s="136">
        <v>0</v>
      </c>
      <c r="J8" s="21">
        <v>0</v>
      </c>
      <c r="K8" s="16">
        <v>1</v>
      </c>
      <c r="L8" s="21">
        <v>1</v>
      </c>
      <c r="M8" s="222">
        <v>1</v>
      </c>
      <c r="N8" s="21">
        <v>0</v>
      </c>
      <c r="O8" s="223">
        <v>0</v>
      </c>
      <c r="P8" s="21">
        <v>1</v>
      </c>
      <c r="Q8" s="21">
        <v>1</v>
      </c>
      <c r="R8" s="222">
        <v>1</v>
      </c>
    </row>
    <row r="9" spans="1:18" x14ac:dyDescent="0.25">
      <c r="A9" s="1225"/>
      <c r="B9" s="1213"/>
      <c r="C9" s="69" t="s">
        <v>162</v>
      </c>
      <c r="D9" s="91">
        <v>1</v>
      </c>
      <c r="E9" s="85" t="s">
        <v>313</v>
      </c>
      <c r="F9" s="62">
        <v>5</v>
      </c>
      <c r="G9" s="225">
        <v>0</v>
      </c>
      <c r="H9" s="21">
        <v>0</v>
      </c>
      <c r="I9" s="136">
        <v>0</v>
      </c>
      <c r="J9" s="21">
        <v>0</v>
      </c>
      <c r="K9" s="16">
        <v>0</v>
      </c>
      <c r="L9" s="21">
        <v>0</v>
      </c>
      <c r="M9" s="222">
        <v>0</v>
      </c>
      <c r="N9" s="21">
        <v>0</v>
      </c>
      <c r="O9" s="223">
        <v>0</v>
      </c>
      <c r="P9" s="21">
        <v>0</v>
      </c>
      <c r="Q9" s="21">
        <v>0</v>
      </c>
      <c r="R9" s="222">
        <v>0</v>
      </c>
    </row>
    <row r="10" spans="1:18" x14ac:dyDescent="0.25">
      <c r="A10" s="1225"/>
      <c r="B10" s="1214"/>
      <c r="C10" s="82" t="s">
        <v>163</v>
      </c>
      <c r="D10" s="97">
        <v>1</v>
      </c>
      <c r="E10" s="114" t="s">
        <v>314</v>
      </c>
      <c r="F10" s="253">
        <v>17</v>
      </c>
      <c r="G10" s="255">
        <v>0</v>
      </c>
      <c r="H10" s="299">
        <v>0</v>
      </c>
      <c r="I10" s="141">
        <v>0</v>
      </c>
      <c r="J10" s="299">
        <v>0</v>
      </c>
      <c r="K10" s="252">
        <v>0</v>
      </c>
      <c r="L10" s="299">
        <v>0</v>
      </c>
      <c r="M10" s="250">
        <v>0</v>
      </c>
      <c r="N10" s="299">
        <v>0</v>
      </c>
      <c r="O10" s="251">
        <v>0</v>
      </c>
      <c r="P10" s="299">
        <v>0</v>
      </c>
      <c r="Q10" s="299">
        <v>0</v>
      </c>
      <c r="R10" s="250">
        <v>0</v>
      </c>
    </row>
    <row r="11" spans="1:18" x14ac:dyDescent="0.25">
      <c r="A11" s="1225"/>
      <c r="B11" s="1214"/>
      <c r="C11" s="73" t="s">
        <v>485</v>
      </c>
      <c r="D11" s="936">
        <v>4</v>
      </c>
      <c r="E11" s="115" t="s">
        <v>483</v>
      </c>
      <c r="F11" s="256">
        <v>2</v>
      </c>
      <c r="G11" s="255">
        <v>0</v>
      </c>
      <c r="H11" s="299">
        <v>0</v>
      </c>
      <c r="I11" s="141">
        <v>0</v>
      </c>
      <c r="J11" s="299">
        <v>0</v>
      </c>
      <c r="K11" s="252">
        <v>0</v>
      </c>
      <c r="L11" s="299">
        <v>0</v>
      </c>
      <c r="M11" s="250">
        <v>0</v>
      </c>
      <c r="N11" s="299">
        <v>0</v>
      </c>
      <c r="O11" s="251">
        <v>0</v>
      </c>
      <c r="P11" s="299">
        <v>0</v>
      </c>
      <c r="Q11" s="299">
        <v>0</v>
      </c>
      <c r="R11" s="250">
        <v>0</v>
      </c>
    </row>
    <row r="12" spans="1:18" ht="15.75" thickBot="1" x14ac:dyDescent="0.3">
      <c r="A12" s="1225"/>
      <c r="B12" s="1217"/>
      <c r="C12" s="959" t="s">
        <v>486</v>
      </c>
      <c r="D12" s="960">
        <v>4</v>
      </c>
      <c r="E12" s="961" t="s">
        <v>484</v>
      </c>
      <c r="F12" s="962">
        <v>5</v>
      </c>
      <c r="G12" s="953">
        <v>0</v>
      </c>
      <c r="H12" s="954">
        <v>0</v>
      </c>
      <c r="I12" s="955">
        <v>0</v>
      </c>
      <c r="J12" s="954">
        <v>0</v>
      </c>
      <c r="K12" s="956">
        <v>0</v>
      </c>
      <c r="L12" s="954">
        <v>0</v>
      </c>
      <c r="M12" s="957">
        <v>0</v>
      </c>
      <c r="N12" s="954">
        <v>0</v>
      </c>
      <c r="O12" s="958">
        <v>0</v>
      </c>
      <c r="P12" s="954">
        <v>0</v>
      </c>
      <c r="Q12" s="954">
        <v>0</v>
      </c>
      <c r="R12" s="957">
        <v>0</v>
      </c>
    </row>
    <row r="13" spans="1:18" s="950" customFormat="1" x14ac:dyDescent="0.25">
      <c r="A13" s="1225"/>
      <c r="B13" s="1233" t="s">
        <v>29</v>
      </c>
      <c r="C13" s="57" t="s">
        <v>335</v>
      </c>
      <c r="D13" s="90">
        <v>2</v>
      </c>
      <c r="E13" s="84" t="s">
        <v>296</v>
      </c>
      <c r="F13" s="60">
        <v>27</v>
      </c>
      <c r="G13" s="132">
        <v>1</v>
      </c>
      <c r="H13" s="41">
        <v>1</v>
      </c>
      <c r="I13" s="132">
        <v>0</v>
      </c>
      <c r="J13" s="41">
        <v>1</v>
      </c>
      <c r="K13" s="40">
        <v>1</v>
      </c>
      <c r="L13" s="41">
        <v>1</v>
      </c>
      <c r="M13" s="201">
        <v>1</v>
      </c>
      <c r="N13" s="309">
        <v>1</v>
      </c>
      <c r="O13" s="213">
        <v>1</v>
      </c>
      <c r="P13" s="309">
        <v>0</v>
      </c>
      <c r="Q13" s="309">
        <v>1</v>
      </c>
      <c r="R13" s="212">
        <v>1</v>
      </c>
    </row>
    <row r="14" spans="1:18" s="950" customFormat="1" x14ac:dyDescent="0.25">
      <c r="A14" s="1225"/>
      <c r="B14" s="1233"/>
      <c r="C14" s="69" t="s">
        <v>336</v>
      </c>
      <c r="D14" s="90">
        <v>2</v>
      </c>
      <c r="E14" s="85" t="s">
        <v>317</v>
      </c>
      <c r="F14" s="62">
        <v>16</v>
      </c>
      <c r="G14" s="136">
        <v>0</v>
      </c>
      <c r="H14" s="21">
        <v>0</v>
      </c>
      <c r="I14" s="136">
        <v>0</v>
      </c>
      <c r="J14" s="21">
        <v>0</v>
      </c>
      <c r="K14" s="16">
        <v>0</v>
      </c>
      <c r="L14" s="21">
        <v>0</v>
      </c>
      <c r="M14" s="222">
        <v>0</v>
      </c>
      <c r="N14" s="21">
        <v>0</v>
      </c>
      <c r="O14" s="223">
        <v>0</v>
      </c>
      <c r="P14" s="21">
        <v>0</v>
      </c>
      <c r="Q14" s="21">
        <v>0</v>
      </c>
      <c r="R14" s="222">
        <v>0</v>
      </c>
    </row>
    <row r="15" spans="1:18" s="950" customFormat="1" x14ac:dyDescent="0.25">
      <c r="A15" s="1225"/>
      <c r="B15" s="1233"/>
      <c r="C15" s="57" t="s">
        <v>339</v>
      </c>
      <c r="D15" s="90">
        <v>2</v>
      </c>
      <c r="E15" s="85" t="s">
        <v>333</v>
      </c>
      <c r="F15" s="60">
        <v>5</v>
      </c>
      <c r="G15" s="134">
        <v>0</v>
      </c>
      <c r="H15" s="309">
        <v>0</v>
      </c>
      <c r="I15" s="134">
        <v>1</v>
      </c>
      <c r="J15" s="309">
        <v>0</v>
      </c>
      <c r="K15" s="39">
        <v>0</v>
      </c>
      <c r="L15" s="309">
        <v>0</v>
      </c>
      <c r="M15" s="212">
        <v>0</v>
      </c>
      <c r="N15" s="309">
        <v>0</v>
      </c>
      <c r="O15" s="213">
        <v>0</v>
      </c>
      <c r="P15" s="309">
        <v>1</v>
      </c>
      <c r="Q15" s="309">
        <v>0</v>
      </c>
      <c r="R15" s="212">
        <v>0</v>
      </c>
    </row>
    <row r="16" spans="1:18" s="950" customFormat="1" ht="15.75" thickBot="1" x14ac:dyDescent="0.3">
      <c r="A16" s="1226"/>
      <c r="B16" s="1234"/>
      <c r="C16" s="75" t="s">
        <v>338</v>
      </c>
      <c r="D16" s="98">
        <v>2</v>
      </c>
      <c r="E16" s="952" t="s">
        <v>337</v>
      </c>
      <c r="F16" s="265">
        <v>6</v>
      </c>
      <c r="G16" s="143">
        <v>0</v>
      </c>
      <c r="H16" s="301">
        <v>0</v>
      </c>
      <c r="I16" s="143">
        <v>0</v>
      </c>
      <c r="J16" s="301">
        <v>0</v>
      </c>
      <c r="K16" s="264">
        <v>0</v>
      </c>
      <c r="L16" s="301">
        <v>0</v>
      </c>
      <c r="M16" s="262">
        <v>0</v>
      </c>
      <c r="N16" s="301">
        <v>0</v>
      </c>
      <c r="O16" s="263">
        <v>0</v>
      </c>
      <c r="P16" s="301">
        <v>0</v>
      </c>
      <c r="Q16" s="301">
        <v>0</v>
      </c>
      <c r="R16" s="262">
        <v>0</v>
      </c>
    </row>
    <row r="18" spans="1:18" ht="15.75" thickBot="1" x14ac:dyDescent="0.3"/>
    <row r="19" spans="1:18" x14ac:dyDescent="0.25">
      <c r="A19" s="1227" t="s">
        <v>1030</v>
      </c>
      <c r="B19" s="1218" t="s">
        <v>136</v>
      </c>
      <c r="C19" s="1210" t="s">
        <v>23</v>
      </c>
      <c r="D19" s="1203" t="s">
        <v>865</v>
      </c>
      <c r="E19" s="1205" t="s">
        <v>135</v>
      </c>
      <c r="F19" s="1203" t="s">
        <v>1034</v>
      </c>
      <c r="G19" s="487" t="s">
        <v>266</v>
      </c>
      <c r="H19" s="100" t="s">
        <v>266</v>
      </c>
      <c r="I19" s="101" t="s">
        <v>259</v>
      </c>
      <c r="J19" s="100" t="s">
        <v>259</v>
      </c>
      <c r="K19" s="103" t="s">
        <v>257</v>
      </c>
      <c r="L19" s="106" t="s">
        <v>258</v>
      </c>
      <c r="M19" s="104" t="s">
        <v>251</v>
      </c>
      <c r="N19" s="106" t="s">
        <v>260</v>
      </c>
      <c r="O19" s="102" t="s">
        <v>264</v>
      </c>
      <c r="P19" s="106" t="s">
        <v>263</v>
      </c>
      <c r="Q19" s="106" t="s">
        <v>262</v>
      </c>
      <c r="R19" s="104" t="s">
        <v>265</v>
      </c>
    </row>
    <row r="20" spans="1:18" ht="15.75" thickBot="1" x14ac:dyDescent="0.3">
      <c r="A20" s="1228"/>
      <c r="B20" s="1219"/>
      <c r="C20" s="1211"/>
      <c r="D20" s="1204"/>
      <c r="E20" s="1206"/>
      <c r="F20" s="1204"/>
      <c r="G20" s="488" t="s">
        <v>20</v>
      </c>
      <c r="H20" s="326" t="s">
        <v>21</v>
      </c>
      <c r="I20" s="328" t="s">
        <v>133</v>
      </c>
      <c r="J20" s="326" t="s">
        <v>132</v>
      </c>
      <c r="K20" s="328" t="s">
        <v>228</v>
      </c>
      <c r="L20" s="326" t="s">
        <v>98</v>
      </c>
      <c r="M20" s="327" t="s">
        <v>220</v>
      </c>
      <c r="N20" s="326" t="s">
        <v>208</v>
      </c>
      <c r="O20" s="329" t="s">
        <v>233</v>
      </c>
      <c r="P20" s="326" t="s">
        <v>214</v>
      </c>
      <c r="Q20" s="326" t="s">
        <v>231</v>
      </c>
      <c r="R20" s="327" t="s">
        <v>234</v>
      </c>
    </row>
    <row r="21" spans="1:18" s="950" customFormat="1" ht="15.75" thickTop="1" x14ac:dyDescent="0.25">
      <c r="A21" s="1228"/>
      <c r="B21" s="1207" t="s">
        <v>67</v>
      </c>
      <c r="C21" s="72" t="s">
        <v>173</v>
      </c>
      <c r="D21" s="95">
        <v>1</v>
      </c>
      <c r="E21" s="111" t="s">
        <v>469</v>
      </c>
      <c r="F21" s="65">
        <v>31</v>
      </c>
      <c r="G21" s="139">
        <v>1</v>
      </c>
      <c r="H21" s="239">
        <v>1</v>
      </c>
      <c r="I21" s="139">
        <v>0</v>
      </c>
      <c r="J21" s="239">
        <v>1</v>
      </c>
      <c r="K21" s="242">
        <v>1</v>
      </c>
      <c r="L21" s="239">
        <v>1</v>
      </c>
      <c r="M21" s="240">
        <v>1</v>
      </c>
      <c r="N21" s="239">
        <v>1</v>
      </c>
      <c r="O21" s="241">
        <v>1</v>
      </c>
      <c r="P21" s="239">
        <v>0</v>
      </c>
      <c r="Q21" s="239">
        <v>1</v>
      </c>
      <c r="R21" s="240">
        <v>1</v>
      </c>
    </row>
    <row r="22" spans="1:18" s="950" customFormat="1" x14ac:dyDescent="0.25">
      <c r="A22" s="1228"/>
      <c r="B22" s="1208"/>
      <c r="C22" s="69" t="s">
        <v>174</v>
      </c>
      <c r="D22" s="91">
        <v>1</v>
      </c>
      <c r="E22" s="85" t="s">
        <v>470</v>
      </c>
      <c r="F22" s="62">
        <v>15</v>
      </c>
      <c r="G22" s="136">
        <v>0</v>
      </c>
      <c r="H22" s="21">
        <v>0</v>
      </c>
      <c r="I22" s="134">
        <v>1</v>
      </c>
      <c r="J22" s="21">
        <v>0</v>
      </c>
      <c r="K22" s="16">
        <v>0</v>
      </c>
      <c r="L22" s="21">
        <v>0</v>
      </c>
      <c r="M22" s="222">
        <v>0</v>
      </c>
      <c r="N22" s="21">
        <v>0</v>
      </c>
      <c r="O22" s="223">
        <v>0</v>
      </c>
      <c r="P22" s="21">
        <v>1</v>
      </c>
      <c r="Q22" s="21">
        <v>0</v>
      </c>
      <c r="R22" s="222">
        <v>0</v>
      </c>
    </row>
    <row r="23" spans="1:18" s="950" customFormat="1" x14ac:dyDescent="0.25">
      <c r="A23" s="1228"/>
      <c r="B23" s="1208"/>
      <c r="C23" s="885" t="s">
        <v>496</v>
      </c>
      <c r="D23" s="231">
        <v>4</v>
      </c>
      <c r="E23" s="87" t="s">
        <v>530</v>
      </c>
      <c r="F23" s="231">
        <v>0</v>
      </c>
      <c r="G23" s="136">
        <v>0</v>
      </c>
      <c r="H23" s="21">
        <v>0</v>
      </c>
      <c r="I23" s="136">
        <v>0</v>
      </c>
      <c r="J23" s="21">
        <v>0</v>
      </c>
      <c r="K23" s="16">
        <v>0</v>
      </c>
      <c r="L23" s="21">
        <v>0</v>
      </c>
      <c r="M23" s="222">
        <v>0</v>
      </c>
      <c r="N23" s="21">
        <v>0</v>
      </c>
      <c r="O23" s="223">
        <v>0</v>
      </c>
      <c r="P23" s="21">
        <v>0</v>
      </c>
      <c r="Q23" s="21">
        <v>0</v>
      </c>
      <c r="R23" s="222">
        <v>0</v>
      </c>
    </row>
    <row r="24" spans="1:18" s="950" customFormat="1" ht="15.75" thickBot="1" x14ac:dyDescent="0.3">
      <c r="A24" s="1228"/>
      <c r="B24" s="1209"/>
      <c r="C24" s="81" t="s">
        <v>573</v>
      </c>
      <c r="D24" s="289">
        <v>4</v>
      </c>
      <c r="E24" s="88" t="s">
        <v>575</v>
      </c>
      <c r="F24" s="236">
        <v>0</v>
      </c>
      <c r="G24" s="138">
        <v>0</v>
      </c>
      <c r="H24" s="232">
        <v>0</v>
      </c>
      <c r="I24" s="138">
        <v>0</v>
      </c>
      <c r="J24" s="232">
        <v>0</v>
      </c>
      <c r="K24" s="235">
        <v>0</v>
      </c>
      <c r="L24" s="232">
        <v>0</v>
      </c>
      <c r="M24" s="233">
        <v>0</v>
      </c>
      <c r="N24" s="232">
        <v>0</v>
      </c>
      <c r="O24" s="234">
        <v>0</v>
      </c>
      <c r="P24" s="232">
        <v>0</v>
      </c>
      <c r="Q24" s="232">
        <v>0</v>
      </c>
      <c r="R24" s="233">
        <v>0</v>
      </c>
    </row>
    <row r="25" spans="1:18" ht="15.75" thickTop="1" x14ac:dyDescent="0.25">
      <c r="A25" s="1228"/>
      <c r="B25" s="1212" t="s">
        <v>31</v>
      </c>
      <c r="C25" s="72" t="s">
        <v>160</v>
      </c>
      <c r="D25" s="95">
        <v>1</v>
      </c>
      <c r="E25" s="111" t="s">
        <v>277</v>
      </c>
      <c r="F25" s="65">
        <v>0</v>
      </c>
      <c r="G25" s="244">
        <v>0</v>
      </c>
      <c r="H25" s="239">
        <v>0</v>
      </c>
      <c r="I25" s="139">
        <v>0</v>
      </c>
      <c r="J25" s="239">
        <v>0</v>
      </c>
      <c r="K25" s="242">
        <v>0</v>
      </c>
      <c r="L25" s="239">
        <v>0</v>
      </c>
      <c r="M25" s="240">
        <v>0</v>
      </c>
      <c r="N25" s="239">
        <v>0</v>
      </c>
      <c r="O25" s="241">
        <v>0</v>
      </c>
      <c r="P25" s="239">
        <v>0</v>
      </c>
      <c r="Q25" s="239">
        <v>0</v>
      </c>
      <c r="R25" s="240">
        <v>0</v>
      </c>
    </row>
    <row r="26" spans="1:18" x14ac:dyDescent="0.25">
      <c r="A26" s="1228"/>
      <c r="B26" s="1213"/>
      <c r="C26" s="69" t="s">
        <v>161</v>
      </c>
      <c r="D26" s="91">
        <v>1</v>
      </c>
      <c r="E26" s="85" t="s">
        <v>312</v>
      </c>
      <c r="F26" s="62">
        <v>0</v>
      </c>
      <c r="G26" s="225">
        <v>0</v>
      </c>
      <c r="H26" s="21">
        <v>0</v>
      </c>
      <c r="I26" s="136">
        <v>0</v>
      </c>
      <c r="J26" s="21">
        <v>0</v>
      </c>
      <c r="K26" s="16">
        <v>0</v>
      </c>
      <c r="L26" s="21">
        <v>0</v>
      </c>
      <c r="M26" s="222">
        <v>0</v>
      </c>
      <c r="N26" s="21">
        <v>0</v>
      </c>
      <c r="O26" s="223">
        <v>0</v>
      </c>
      <c r="P26" s="21">
        <v>0</v>
      </c>
      <c r="Q26" s="21">
        <v>0</v>
      </c>
      <c r="R26" s="222">
        <v>0</v>
      </c>
    </row>
    <row r="27" spans="1:18" x14ac:dyDescent="0.25">
      <c r="A27" s="1228"/>
      <c r="B27" s="1213"/>
      <c r="C27" s="69" t="s">
        <v>162</v>
      </c>
      <c r="D27" s="91">
        <v>1</v>
      </c>
      <c r="E27" s="85" t="s">
        <v>313</v>
      </c>
      <c r="F27" s="62">
        <v>15</v>
      </c>
      <c r="G27" s="225">
        <v>0</v>
      </c>
      <c r="H27" s="21">
        <v>0</v>
      </c>
      <c r="I27" s="136">
        <v>1</v>
      </c>
      <c r="J27" s="21">
        <v>1</v>
      </c>
      <c r="K27" s="16">
        <v>0</v>
      </c>
      <c r="L27" s="21">
        <v>0</v>
      </c>
      <c r="M27" s="222">
        <v>0</v>
      </c>
      <c r="N27" s="21">
        <v>1</v>
      </c>
      <c r="O27" s="223">
        <v>1</v>
      </c>
      <c r="P27" s="21">
        <v>0</v>
      </c>
      <c r="Q27" s="21">
        <v>0</v>
      </c>
      <c r="R27" s="222">
        <v>0</v>
      </c>
    </row>
    <row r="28" spans="1:18" x14ac:dyDescent="0.25">
      <c r="A28" s="1228"/>
      <c r="B28" s="1214"/>
      <c r="C28" s="82" t="s">
        <v>163</v>
      </c>
      <c r="D28" s="97">
        <v>1</v>
      </c>
      <c r="E28" s="114" t="s">
        <v>314</v>
      </c>
      <c r="F28" s="253">
        <v>38</v>
      </c>
      <c r="G28" s="255">
        <v>1</v>
      </c>
      <c r="H28" s="299">
        <v>1</v>
      </c>
      <c r="I28" s="141">
        <v>0</v>
      </c>
      <c r="J28" s="299">
        <v>0</v>
      </c>
      <c r="K28" s="252">
        <v>1</v>
      </c>
      <c r="L28" s="299">
        <v>1</v>
      </c>
      <c r="M28" s="250">
        <v>1</v>
      </c>
      <c r="N28" s="299">
        <v>0</v>
      </c>
      <c r="O28" s="251">
        <v>0</v>
      </c>
      <c r="P28" s="299">
        <v>1</v>
      </c>
      <c r="Q28" s="299">
        <v>1</v>
      </c>
      <c r="R28" s="250">
        <v>1</v>
      </c>
    </row>
    <row r="29" spans="1:18" x14ac:dyDescent="0.25">
      <c r="A29" s="1228"/>
      <c r="B29" s="1214"/>
      <c r="C29" s="73" t="s">
        <v>485</v>
      </c>
      <c r="D29" s="936">
        <v>4</v>
      </c>
      <c r="E29" s="115" t="s">
        <v>483</v>
      </c>
      <c r="F29" s="256">
        <v>0</v>
      </c>
      <c r="G29" s="255">
        <v>0</v>
      </c>
      <c r="H29" s="299">
        <v>0</v>
      </c>
      <c r="I29" s="141">
        <v>0</v>
      </c>
      <c r="J29" s="299">
        <v>0</v>
      </c>
      <c r="K29" s="252">
        <v>0</v>
      </c>
      <c r="L29" s="299">
        <v>0</v>
      </c>
      <c r="M29" s="250">
        <v>0</v>
      </c>
      <c r="N29" s="299">
        <v>0</v>
      </c>
      <c r="O29" s="251">
        <v>0</v>
      </c>
      <c r="P29" s="299">
        <v>0</v>
      </c>
      <c r="Q29" s="299">
        <v>0</v>
      </c>
      <c r="R29" s="250">
        <v>0</v>
      </c>
    </row>
    <row r="30" spans="1:18" ht="15.75" thickBot="1" x14ac:dyDescent="0.3">
      <c r="A30" s="1228"/>
      <c r="B30" s="1215"/>
      <c r="C30" s="81" t="s">
        <v>486</v>
      </c>
      <c r="D30" s="289">
        <v>4</v>
      </c>
      <c r="E30" s="88" t="s">
        <v>484</v>
      </c>
      <c r="F30" s="236">
        <v>7</v>
      </c>
      <c r="G30" s="211">
        <v>0</v>
      </c>
      <c r="H30" s="206">
        <v>0</v>
      </c>
      <c r="I30" s="133">
        <v>0</v>
      </c>
      <c r="J30" s="206">
        <v>0</v>
      </c>
      <c r="K30" s="209">
        <v>0</v>
      </c>
      <c r="L30" s="206">
        <v>0</v>
      </c>
      <c r="M30" s="207">
        <v>0</v>
      </c>
      <c r="N30" s="206">
        <v>0</v>
      </c>
      <c r="O30" s="208">
        <v>0</v>
      </c>
      <c r="P30" s="206">
        <v>0</v>
      </c>
      <c r="Q30" s="206">
        <v>0</v>
      </c>
      <c r="R30" s="207">
        <v>0</v>
      </c>
    </row>
    <row r="31" spans="1:18" ht="15.75" thickTop="1" x14ac:dyDescent="0.25">
      <c r="A31" s="1228"/>
      <c r="B31" s="1233" t="s">
        <v>29</v>
      </c>
      <c r="C31" s="57" t="s">
        <v>335</v>
      </c>
      <c r="D31" s="90">
        <v>2</v>
      </c>
      <c r="E31" s="84" t="s">
        <v>296</v>
      </c>
      <c r="F31" s="60">
        <v>11</v>
      </c>
      <c r="G31" s="215">
        <v>0</v>
      </c>
      <c r="H31" s="309">
        <v>0</v>
      </c>
      <c r="I31" s="134">
        <v>0</v>
      </c>
      <c r="J31" s="309">
        <v>1</v>
      </c>
      <c r="K31" s="39">
        <v>0</v>
      </c>
      <c r="L31" s="309">
        <v>0</v>
      </c>
      <c r="M31" s="212">
        <v>0</v>
      </c>
      <c r="N31" s="309">
        <v>1</v>
      </c>
      <c r="O31" s="213">
        <v>1</v>
      </c>
      <c r="P31" s="309">
        <v>0</v>
      </c>
      <c r="Q31" s="309">
        <v>0</v>
      </c>
      <c r="R31" s="212">
        <v>0</v>
      </c>
    </row>
    <row r="32" spans="1:18" x14ac:dyDescent="0.25">
      <c r="A32" s="1228"/>
      <c r="B32" s="1233"/>
      <c r="C32" s="69" t="s">
        <v>336</v>
      </c>
      <c r="D32" s="90">
        <v>2</v>
      </c>
      <c r="E32" s="85" t="s">
        <v>317</v>
      </c>
      <c r="F32" s="62">
        <v>36</v>
      </c>
      <c r="G32" s="225">
        <v>1</v>
      </c>
      <c r="H32" s="21">
        <v>1</v>
      </c>
      <c r="I32" s="136">
        <v>0</v>
      </c>
      <c r="J32" s="21">
        <v>0</v>
      </c>
      <c r="K32" s="16">
        <v>1</v>
      </c>
      <c r="L32" s="21">
        <v>1</v>
      </c>
      <c r="M32" s="222">
        <v>1</v>
      </c>
      <c r="N32" s="21">
        <v>0</v>
      </c>
      <c r="O32" s="223">
        <v>0</v>
      </c>
      <c r="P32" s="21">
        <v>0</v>
      </c>
      <c r="Q32" s="21">
        <v>1</v>
      </c>
      <c r="R32" s="222">
        <v>1</v>
      </c>
    </row>
    <row r="33" spans="1:19" x14ac:dyDescent="0.25">
      <c r="A33" s="1228"/>
      <c r="B33" s="1233"/>
      <c r="C33" s="57" t="s">
        <v>339</v>
      </c>
      <c r="D33" s="90">
        <v>2</v>
      </c>
      <c r="E33" s="85" t="s">
        <v>333</v>
      </c>
      <c r="F33" s="60">
        <v>2</v>
      </c>
      <c r="G33" s="215">
        <v>0</v>
      </c>
      <c r="H33" s="309">
        <v>0</v>
      </c>
      <c r="I33" s="134">
        <v>1</v>
      </c>
      <c r="J33" s="309">
        <v>0</v>
      </c>
      <c r="K33" s="39">
        <v>0</v>
      </c>
      <c r="L33" s="309">
        <v>0</v>
      </c>
      <c r="M33" s="212">
        <v>0</v>
      </c>
      <c r="N33" s="309">
        <v>0</v>
      </c>
      <c r="O33" s="213">
        <v>0</v>
      </c>
      <c r="P33" s="309">
        <v>0</v>
      </c>
      <c r="Q33" s="309">
        <v>0</v>
      </c>
      <c r="R33" s="212">
        <v>0</v>
      </c>
    </row>
    <row r="34" spans="1:19" ht="15.75" thickBot="1" x14ac:dyDescent="0.3">
      <c r="A34" s="1229"/>
      <c r="B34" s="1234"/>
      <c r="C34" s="75" t="s">
        <v>338</v>
      </c>
      <c r="D34" s="98">
        <v>2</v>
      </c>
      <c r="E34" s="952" t="s">
        <v>337</v>
      </c>
      <c r="F34" s="265">
        <v>5</v>
      </c>
      <c r="G34" s="267">
        <v>0</v>
      </c>
      <c r="H34" s="301">
        <v>0</v>
      </c>
      <c r="I34" s="143">
        <v>0</v>
      </c>
      <c r="J34" s="301">
        <v>0</v>
      </c>
      <c r="K34" s="264">
        <v>0</v>
      </c>
      <c r="L34" s="301">
        <v>0</v>
      </c>
      <c r="M34" s="262">
        <v>0</v>
      </c>
      <c r="N34" s="301">
        <v>0</v>
      </c>
      <c r="O34" s="263">
        <v>0</v>
      </c>
      <c r="P34" s="301">
        <v>1</v>
      </c>
      <c r="Q34" s="301">
        <v>0</v>
      </c>
      <c r="R34" s="262">
        <v>0</v>
      </c>
    </row>
    <row r="37" spans="1:19" ht="15.75" thickBot="1" x14ac:dyDescent="0.3"/>
    <row r="38" spans="1:19" x14ac:dyDescent="0.25">
      <c r="A38" s="1230" t="s">
        <v>1033</v>
      </c>
      <c r="B38" s="1218" t="s">
        <v>136</v>
      </c>
      <c r="C38" s="1210" t="s">
        <v>23</v>
      </c>
      <c r="D38" s="1203" t="s">
        <v>865</v>
      </c>
      <c r="E38" s="1205" t="s">
        <v>135</v>
      </c>
      <c r="F38" s="1222" t="s">
        <v>1032</v>
      </c>
      <c r="G38" s="487" t="s">
        <v>266</v>
      </c>
      <c r="H38" s="100" t="s">
        <v>266</v>
      </c>
      <c r="I38" s="101" t="s">
        <v>259</v>
      </c>
      <c r="J38" s="100" t="s">
        <v>259</v>
      </c>
      <c r="K38" s="103" t="s">
        <v>257</v>
      </c>
      <c r="L38" s="106" t="s">
        <v>258</v>
      </c>
      <c r="M38" s="104" t="s">
        <v>251</v>
      </c>
      <c r="N38" s="106" t="s">
        <v>260</v>
      </c>
      <c r="O38" s="102" t="s">
        <v>264</v>
      </c>
      <c r="P38" s="106" t="s">
        <v>263</v>
      </c>
      <c r="Q38" s="106" t="s">
        <v>262</v>
      </c>
      <c r="R38" s="104" t="s">
        <v>265</v>
      </c>
      <c r="S38" s="1220" t="s">
        <v>1031</v>
      </c>
    </row>
    <row r="39" spans="1:19" ht="15.75" thickBot="1" x14ac:dyDescent="0.3">
      <c r="A39" s="1231"/>
      <c r="B39" s="1219"/>
      <c r="C39" s="1211"/>
      <c r="D39" s="1204"/>
      <c r="E39" s="1206"/>
      <c r="F39" s="1223"/>
      <c r="G39" s="488" t="s">
        <v>20</v>
      </c>
      <c r="H39" s="326" t="s">
        <v>21</v>
      </c>
      <c r="I39" s="328" t="s">
        <v>133</v>
      </c>
      <c r="J39" s="326" t="s">
        <v>132</v>
      </c>
      <c r="K39" s="328" t="s">
        <v>228</v>
      </c>
      <c r="L39" s="326" t="s">
        <v>98</v>
      </c>
      <c r="M39" s="327" t="s">
        <v>220</v>
      </c>
      <c r="N39" s="326" t="s">
        <v>208</v>
      </c>
      <c r="O39" s="329" t="s">
        <v>233</v>
      </c>
      <c r="P39" s="326" t="s">
        <v>214</v>
      </c>
      <c r="Q39" s="326" t="s">
        <v>231</v>
      </c>
      <c r="R39" s="327" t="s">
        <v>234</v>
      </c>
      <c r="S39" s="1221"/>
    </row>
    <row r="40" spans="1:19" ht="15.75" thickTop="1" x14ac:dyDescent="0.25">
      <c r="A40" s="1231"/>
      <c r="B40" s="1207" t="s">
        <v>67</v>
      </c>
      <c r="C40" s="72" t="s">
        <v>173</v>
      </c>
      <c r="D40" s="95">
        <v>1</v>
      </c>
      <c r="E40" s="111" t="s">
        <v>469</v>
      </c>
      <c r="F40" s="65">
        <f t="shared" ref="F40:R40" si="0">F21-F3</f>
        <v>-16</v>
      </c>
      <c r="G40" s="139">
        <f t="shared" si="0"/>
        <v>0</v>
      </c>
      <c r="H40" s="239">
        <f t="shared" si="0"/>
        <v>0</v>
      </c>
      <c r="I40" s="139">
        <f t="shared" si="0"/>
        <v>-1</v>
      </c>
      <c r="J40" s="239">
        <f t="shared" si="0"/>
        <v>-1</v>
      </c>
      <c r="K40" s="242">
        <f t="shared" si="0"/>
        <v>0</v>
      </c>
      <c r="L40" s="239">
        <f t="shared" si="0"/>
        <v>0</v>
      </c>
      <c r="M40" s="240">
        <f t="shared" si="0"/>
        <v>-1</v>
      </c>
      <c r="N40" s="239">
        <f t="shared" si="0"/>
        <v>-1</v>
      </c>
      <c r="O40" s="241">
        <f t="shared" si="0"/>
        <v>0</v>
      </c>
      <c r="P40" s="239">
        <f t="shared" si="0"/>
        <v>-1</v>
      </c>
      <c r="Q40" s="239">
        <f t="shared" si="0"/>
        <v>0</v>
      </c>
      <c r="R40" s="240">
        <f t="shared" si="0"/>
        <v>0</v>
      </c>
      <c r="S40" s="240">
        <f t="shared" ref="S40:S53" si="1">SUM(G40:R40)</f>
        <v>-5</v>
      </c>
    </row>
    <row r="41" spans="1:19" x14ac:dyDescent="0.25">
      <c r="A41" s="1231"/>
      <c r="B41" s="1208"/>
      <c r="C41" s="69" t="s">
        <v>174</v>
      </c>
      <c r="D41" s="91">
        <v>1</v>
      </c>
      <c r="E41" s="85" t="s">
        <v>470</v>
      </c>
      <c r="F41" s="62">
        <f t="shared" ref="F41:R41" si="2">F22-F4</f>
        <v>-8</v>
      </c>
      <c r="G41" s="136">
        <f t="shared" si="2"/>
        <v>-1</v>
      </c>
      <c r="H41" s="21">
        <f t="shared" si="2"/>
        <v>-1</v>
      </c>
      <c r="I41" s="134">
        <f t="shared" si="2"/>
        <v>0</v>
      </c>
      <c r="J41" s="21">
        <f t="shared" si="2"/>
        <v>0</v>
      </c>
      <c r="K41" s="16">
        <f t="shared" si="2"/>
        <v>-1</v>
      </c>
      <c r="L41" s="21">
        <f t="shared" si="2"/>
        <v>-1</v>
      </c>
      <c r="M41" s="222">
        <f t="shared" si="2"/>
        <v>0</v>
      </c>
      <c r="N41" s="21">
        <f t="shared" si="2"/>
        <v>0</v>
      </c>
      <c r="O41" s="223">
        <f t="shared" si="2"/>
        <v>-1</v>
      </c>
      <c r="P41" s="21">
        <f t="shared" si="2"/>
        <v>0</v>
      </c>
      <c r="Q41" s="21">
        <f t="shared" si="2"/>
        <v>-1</v>
      </c>
      <c r="R41" s="222">
        <f t="shared" si="2"/>
        <v>-1</v>
      </c>
      <c r="S41" s="222">
        <f t="shared" si="1"/>
        <v>-7</v>
      </c>
    </row>
    <row r="42" spans="1:19" x14ac:dyDescent="0.25">
      <c r="A42" s="1231"/>
      <c r="B42" s="1208"/>
      <c r="C42" s="885" t="s">
        <v>496</v>
      </c>
      <c r="D42" s="231">
        <v>4</v>
      </c>
      <c r="E42" s="87" t="s">
        <v>530</v>
      </c>
      <c r="F42" s="231">
        <f t="shared" ref="F42:R42" si="3">F23-F5</f>
        <v>-2</v>
      </c>
      <c r="G42" s="136">
        <f t="shared" si="3"/>
        <v>0</v>
      </c>
      <c r="H42" s="21">
        <f t="shared" si="3"/>
        <v>0</v>
      </c>
      <c r="I42" s="136">
        <f t="shared" si="3"/>
        <v>0</v>
      </c>
      <c r="J42" s="21">
        <f t="shared" si="3"/>
        <v>0</v>
      </c>
      <c r="K42" s="16">
        <f t="shared" si="3"/>
        <v>0</v>
      </c>
      <c r="L42" s="21">
        <f t="shared" si="3"/>
        <v>0</v>
      </c>
      <c r="M42" s="222">
        <f t="shared" si="3"/>
        <v>0</v>
      </c>
      <c r="N42" s="21">
        <f t="shared" si="3"/>
        <v>0</v>
      </c>
      <c r="O42" s="223">
        <f t="shared" si="3"/>
        <v>0</v>
      </c>
      <c r="P42" s="21">
        <f t="shared" si="3"/>
        <v>0</v>
      </c>
      <c r="Q42" s="21">
        <f t="shared" si="3"/>
        <v>0</v>
      </c>
      <c r="R42" s="222">
        <f t="shared" si="3"/>
        <v>0</v>
      </c>
      <c r="S42" s="222">
        <f t="shared" si="1"/>
        <v>0</v>
      </c>
    </row>
    <row r="43" spans="1:19" ht="15.75" thickBot="1" x14ac:dyDescent="0.3">
      <c r="A43" s="1231"/>
      <c r="B43" s="1209"/>
      <c r="C43" s="81" t="s">
        <v>573</v>
      </c>
      <c r="D43" s="289">
        <v>4</v>
      </c>
      <c r="E43" s="88" t="s">
        <v>575</v>
      </c>
      <c r="F43" s="236">
        <f t="shared" ref="F43:R43" si="4">F24-F6</f>
        <v>-1</v>
      </c>
      <c r="G43" s="138">
        <f t="shared" si="4"/>
        <v>0</v>
      </c>
      <c r="H43" s="232">
        <f t="shared" si="4"/>
        <v>0</v>
      </c>
      <c r="I43" s="138">
        <f t="shared" si="4"/>
        <v>0</v>
      </c>
      <c r="J43" s="232">
        <f t="shared" si="4"/>
        <v>0</v>
      </c>
      <c r="K43" s="235">
        <f t="shared" si="4"/>
        <v>0</v>
      </c>
      <c r="L43" s="232">
        <f t="shared" si="4"/>
        <v>0</v>
      </c>
      <c r="M43" s="233">
        <f t="shared" si="4"/>
        <v>0</v>
      </c>
      <c r="N43" s="232">
        <f t="shared" si="4"/>
        <v>0</v>
      </c>
      <c r="O43" s="234">
        <f t="shared" si="4"/>
        <v>0</v>
      </c>
      <c r="P43" s="232">
        <f t="shared" si="4"/>
        <v>0</v>
      </c>
      <c r="Q43" s="232">
        <f t="shared" si="4"/>
        <v>0</v>
      </c>
      <c r="R43" s="233">
        <f t="shared" si="4"/>
        <v>0</v>
      </c>
      <c r="S43" s="233">
        <f t="shared" si="1"/>
        <v>0</v>
      </c>
    </row>
    <row r="44" spans="1:19" ht="15.75" thickTop="1" x14ac:dyDescent="0.25">
      <c r="A44" s="1231"/>
      <c r="B44" s="1212" t="s">
        <v>31</v>
      </c>
      <c r="C44" s="72" t="s">
        <v>160</v>
      </c>
      <c r="D44" s="95">
        <v>1</v>
      </c>
      <c r="E44" s="111" t="s">
        <v>277</v>
      </c>
      <c r="F44" s="65">
        <f t="shared" ref="F44:R44" si="5">F25-F7</f>
        <v>-8</v>
      </c>
      <c r="G44" s="244">
        <f t="shared" si="5"/>
        <v>0</v>
      </c>
      <c r="H44" s="239">
        <f t="shared" si="5"/>
        <v>0</v>
      </c>
      <c r="I44" s="139">
        <f t="shared" si="5"/>
        <v>-1</v>
      </c>
      <c r="J44" s="239">
        <f t="shared" si="5"/>
        <v>-1</v>
      </c>
      <c r="K44" s="242">
        <f t="shared" si="5"/>
        <v>0</v>
      </c>
      <c r="L44" s="239">
        <f t="shared" si="5"/>
        <v>0</v>
      </c>
      <c r="M44" s="240">
        <f t="shared" si="5"/>
        <v>0</v>
      </c>
      <c r="N44" s="239">
        <f t="shared" si="5"/>
        <v>-1</v>
      </c>
      <c r="O44" s="241">
        <f t="shared" si="5"/>
        <v>-1</v>
      </c>
      <c r="P44" s="239">
        <f t="shared" si="5"/>
        <v>0</v>
      </c>
      <c r="Q44" s="239">
        <f t="shared" si="5"/>
        <v>0</v>
      </c>
      <c r="R44" s="240">
        <f t="shared" si="5"/>
        <v>0</v>
      </c>
      <c r="S44" s="240">
        <f t="shared" si="1"/>
        <v>-4</v>
      </c>
    </row>
    <row r="45" spans="1:19" x14ac:dyDescent="0.25">
      <c r="A45" s="1231"/>
      <c r="B45" s="1213"/>
      <c r="C45" s="69" t="s">
        <v>161</v>
      </c>
      <c r="D45" s="91">
        <v>1</v>
      </c>
      <c r="E45" s="85" t="s">
        <v>312</v>
      </c>
      <c r="F45" s="62">
        <f t="shared" ref="F45:R45" si="6">F26-F8</f>
        <v>-17</v>
      </c>
      <c r="G45" s="225">
        <f t="shared" si="6"/>
        <v>-1</v>
      </c>
      <c r="H45" s="21">
        <f t="shared" si="6"/>
        <v>-1</v>
      </c>
      <c r="I45" s="136">
        <f t="shared" si="6"/>
        <v>0</v>
      </c>
      <c r="J45" s="21">
        <f t="shared" si="6"/>
        <v>0</v>
      </c>
      <c r="K45" s="16">
        <f t="shared" si="6"/>
        <v>-1</v>
      </c>
      <c r="L45" s="21">
        <f t="shared" si="6"/>
        <v>-1</v>
      </c>
      <c r="M45" s="222">
        <f t="shared" si="6"/>
        <v>-1</v>
      </c>
      <c r="N45" s="21">
        <f t="shared" si="6"/>
        <v>0</v>
      </c>
      <c r="O45" s="223">
        <f t="shared" si="6"/>
        <v>0</v>
      </c>
      <c r="P45" s="21">
        <f t="shared" si="6"/>
        <v>-1</v>
      </c>
      <c r="Q45" s="21">
        <f t="shared" si="6"/>
        <v>-1</v>
      </c>
      <c r="R45" s="222">
        <f t="shared" si="6"/>
        <v>-1</v>
      </c>
      <c r="S45" s="222">
        <f t="shared" si="1"/>
        <v>-8</v>
      </c>
    </row>
    <row r="46" spans="1:19" x14ac:dyDescent="0.25">
      <c r="A46" s="1231"/>
      <c r="B46" s="1213"/>
      <c r="C46" s="69" t="s">
        <v>162</v>
      </c>
      <c r="D46" s="91">
        <v>1</v>
      </c>
      <c r="E46" s="85" t="s">
        <v>313</v>
      </c>
      <c r="F46" s="62">
        <f t="shared" ref="F46:R46" si="7">F27-F9</f>
        <v>10</v>
      </c>
      <c r="G46" s="225">
        <f t="shared" si="7"/>
        <v>0</v>
      </c>
      <c r="H46" s="21">
        <f t="shared" si="7"/>
        <v>0</v>
      </c>
      <c r="I46" s="136">
        <f t="shared" si="7"/>
        <v>1</v>
      </c>
      <c r="J46" s="21">
        <f t="shared" si="7"/>
        <v>1</v>
      </c>
      <c r="K46" s="16">
        <f t="shared" si="7"/>
        <v>0</v>
      </c>
      <c r="L46" s="21">
        <f t="shared" si="7"/>
        <v>0</v>
      </c>
      <c r="M46" s="222">
        <f t="shared" si="7"/>
        <v>0</v>
      </c>
      <c r="N46" s="21">
        <f t="shared" si="7"/>
        <v>1</v>
      </c>
      <c r="O46" s="223">
        <f t="shared" si="7"/>
        <v>1</v>
      </c>
      <c r="P46" s="21">
        <f t="shared" si="7"/>
        <v>0</v>
      </c>
      <c r="Q46" s="21">
        <f t="shared" si="7"/>
        <v>0</v>
      </c>
      <c r="R46" s="222">
        <f t="shared" si="7"/>
        <v>0</v>
      </c>
      <c r="S46" s="222">
        <f t="shared" si="1"/>
        <v>4</v>
      </c>
    </row>
    <row r="47" spans="1:19" x14ac:dyDescent="0.25">
      <c r="A47" s="1231"/>
      <c r="B47" s="1214"/>
      <c r="C47" s="82" t="s">
        <v>163</v>
      </c>
      <c r="D47" s="97">
        <v>1</v>
      </c>
      <c r="E47" s="114" t="s">
        <v>314</v>
      </c>
      <c r="F47" s="253">
        <f t="shared" ref="F47:R47" si="8">F28-F10</f>
        <v>21</v>
      </c>
      <c r="G47" s="255">
        <f t="shared" si="8"/>
        <v>1</v>
      </c>
      <c r="H47" s="299">
        <f t="shared" si="8"/>
        <v>1</v>
      </c>
      <c r="I47" s="141">
        <f t="shared" si="8"/>
        <v>0</v>
      </c>
      <c r="J47" s="299">
        <f t="shared" si="8"/>
        <v>0</v>
      </c>
      <c r="K47" s="252">
        <f t="shared" si="8"/>
        <v>1</v>
      </c>
      <c r="L47" s="299">
        <f t="shared" si="8"/>
        <v>1</v>
      </c>
      <c r="M47" s="250">
        <f t="shared" si="8"/>
        <v>1</v>
      </c>
      <c r="N47" s="299">
        <f t="shared" si="8"/>
        <v>0</v>
      </c>
      <c r="O47" s="251">
        <f t="shared" si="8"/>
        <v>0</v>
      </c>
      <c r="P47" s="299">
        <f t="shared" si="8"/>
        <v>1</v>
      </c>
      <c r="Q47" s="299">
        <f t="shared" si="8"/>
        <v>1</v>
      </c>
      <c r="R47" s="250">
        <f t="shared" si="8"/>
        <v>1</v>
      </c>
      <c r="S47" s="250">
        <f t="shared" si="1"/>
        <v>8</v>
      </c>
    </row>
    <row r="48" spans="1:19" x14ac:dyDescent="0.25">
      <c r="A48" s="1231"/>
      <c r="B48" s="1214"/>
      <c r="C48" s="73" t="s">
        <v>485</v>
      </c>
      <c r="D48" s="936">
        <v>4</v>
      </c>
      <c r="E48" s="115" t="s">
        <v>483</v>
      </c>
      <c r="F48" s="253">
        <f t="shared" ref="F48:R48" si="9">F29-F11</f>
        <v>-2</v>
      </c>
      <c r="G48" s="255">
        <f t="shared" si="9"/>
        <v>0</v>
      </c>
      <c r="H48" s="299">
        <f t="shared" si="9"/>
        <v>0</v>
      </c>
      <c r="I48" s="141">
        <f t="shared" si="9"/>
        <v>0</v>
      </c>
      <c r="J48" s="299">
        <f t="shared" si="9"/>
        <v>0</v>
      </c>
      <c r="K48" s="252">
        <f t="shared" si="9"/>
        <v>0</v>
      </c>
      <c r="L48" s="299">
        <f t="shared" si="9"/>
        <v>0</v>
      </c>
      <c r="M48" s="250">
        <f t="shared" si="9"/>
        <v>0</v>
      </c>
      <c r="N48" s="299">
        <f t="shared" si="9"/>
        <v>0</v>
      </c>
      <c r="O48" s="251">
        <f t="shared" si="9"/>
        <v>0</v>
      </c>
      <c r="P48" s="299">
        <f t="shared" si="9"/>
        <v>0</v>
      </c>
      <c r="Q48" s="299">
        <f t="shared" si="9"/>
        <v>0</v>
      </c>
      <c r="R48" s="250">
        <f t="shared" si="9"/>
        <v>0</v>
      </c>
      <c r="S48" s="250">
        <f t="shared" si="1"/>
        <v>0</v>
      </c>
    </row>
    <row r="49" spans="1:19" ht="15.75" thickBot="1" x14ac:dyDescent="0.3">
      <c r="A49" s="1231"/>
      <c r="B49" s="1215"/>
      <c r="C49" s="81" t="s">
        <v>486</v>
      </c>
      <c r="D49" s="289">
        <v>4</v>
      </c>
      <c r="E49" s="88" t="s">
        <v>484</v>
      </c>
      <c r="F49" s="58">
        <f t="shared" ref="F49:R49" si="10">F30-F12</f>
        <v>2</v>
      </c>
      <c r="G49" s="211">
        <f t="shared" si="10"/>
        <v>0</v>
      </c>
      <c r="H49" s="206">
        <f t="shared" si="10"/>
        <v>0</v>
      </c>
      <c r="I49" s="133">
        <f t="shared" si="10"/>
        <v>0</v>
      </c>
      <c r="J49" s="206">
        <f t="shared" si="10"/>
        <v>0</v>
      </c>
      <c r="K49" s="209">
        <f t="shared" si="10"/>
        <v>0</v>
      </c>
      <c r="L49" s="206">
        <f t="shared" si="10"/>
        <v>0</v>
      </c>
      <c r="M49" s="207">
        <f t="shared" si="10"/>
        <v>0</v>
      </c>
      <c r="N49" s="206">
        <f t="shared" si="10"/>
        <v>0</v>
      </c>
      <c r="O49" s="208">
        <f t="shared" si="10"/>
        <v>0</v>
      </c>
      <c r="P49" s="206">
        <f t="shared" si="10"/>
        <v>0</v>
      </c>
      <c r="Q49" s="206">
        <f t="shared" si="10"/>
        <v>0</v>
      </c>
      <c r="R49" s="207">
        <f t="shared" si="10"/>
        <v>0</v>
      </c>
      <c r="S49" s="207">
        <f t="shared" si="1"/>
        <v>0</v>
      </c>
    </row>
    <row r="50" spans="1:19" ht="15.75" thickTop="1" x14ac:dyDescent="0.25">
      <c r="A50" s="1231"/>
      <c r="B50" s="1233" t="s">
        <v>29</v>
      </c>
      <c r="C50" s="57" t="s">
        <v>335</v>
      </c>
      <c r="D50" s="90">
        <v>2</v>
      </c>
      <c r="E50" s="84" t="s">
        <v>296</v>
      </c>
      <c r="F50" s="60">
        <f t="shared" ref="F50:R50" si="11">F31-F13</f>
        <v>-16</v>
      </c>
      <c r="G50" s="215">
        <f t="shared" si="11"/>
        <v>-1</v>
      </c>
      <c r="H50" s="309">
        <f t="shared" si="11"/>
        <v>-1</v>
      </c>
      <c r="I50" s="134">
        <f t="shared" si="11"/>
        <v>0</v>
      </c>
      <c r="J50" s="309">
        <f t="shared" si="11"/>
        <v>0</v>
      </c>
      <c r="K50" s="39">
        <f t="shared" si="11"/>
        <v>-1</v>
      </c>
      <c r="L50" s="309">
        <f t="shared" si="11"/>
        <v>-1</v>
      </c>
      <c r="M50" s="212">
        <f t="shared" si="11"/>
        <v>-1</v>
      </c>
      <c r="N50" s="309">
        <f t="shared" si="11"/>
        <v>0</v>
      </c>
      <c r="O50" s="213">
        <f t="shared" si="11"/>
        <v>0</v>
      </c>
      <c r="P50" s="309">
        <f t="shared" si="11"/>
        <v>0</v>
      </c>
      <c r="Q50" s="309">
        <f t="shared" si="11"/>
        <v>-1</v>
      </c>
      <c r="R50" s="212">
        <f t="shared" si="11"/>
        <v>-1</v>
      </c>
      <c r="S50" s="212">
        <f t="shared" si="1"/>
        <v>-7</v>
      </c>
    </row>
    <row r="51" spans="1:19" x14ac:dyDescent="0.25">
      <c r="A51" s="1231"/>
      <c r="B51" s="1233"/>
      <c r="C51" s="69" t="s">
        <v>336</v>
      </c>
      <c r="D51" s="90">
        <v>2</v>
      </c>
      <c r="E51" s="85" t="s">
        <v>317</v>
      </c>
      <c r="F51" s="62">
        <f t="shared" ref="F51:R51" si="12">F32-F14</f>
        <v>20</v>
      </c>
      <c r="G51" s="225">
        <f t="shared" si="12"/>
        <v>1</v>
      </c>
      <c r="H51" s="21">
        <f t="shared" si="12"/>
        <v>1</v>
      </c>
      <c r="I51" s="136">
        <f t="shared" si="12"/>
        <v>0</v>
      </c>
      <c r="J51" s="21">
        <f t="shared" si="12"/>
        <v>0</v>
      </c>
      <c r="K51" s="16">
        <f t="shared" si="12"/>
        <v>1</v>
      </c>
      <c r="L51" s="21">
        <f t="shared" si="12"/>
        <v>1</v>
      </c>
      <c r="M51" s="222">
        <f t="shared" si="12"/>
        <v>1</v>
      </c>
      <c r="N51" s="21">
        <f t="shared" si="12"/>
        <v>0</v>
      </c>
      <c r="O51" s="223">
        <f t="shared" si="12"/>
        <v>0</v>
      </c>
      <c r="P51" s="21">
        <f t="shared" si="12"/>
        <v>0</v>
      </c>
      <c r="Q51" s="21">
        <f t="shared" si="12"/>
        <v>1</v>
      </c>
      <c r="R51" s="222">
        <f t="shared" si="12"/>
        <v>1</v>
      </c>
      <c r="S51" s="222">
        <f t="shared" si="1"/>
        <v>7</v>
      </c>
    </row>
    <row r="52" spans="1:19" x14ac:dyDescent="0.25">
      <c r="A52" s="1231"/>
      <c r="B52" s="1233"/>
      <c r="C52" s="57" t="s">
        <v>339</v>
      </c>
      <c r="D52" s="90">
        <v>2</v>
      </c>
      <c r="E52" s="85" t="s">
        <v>333</v>
      </c>
      <c r="F52" s="60">
        <f t="shared" ref="F52:R52" si="13">F33-F15</f>
        <v>-3</v>
      </c>
      <c r="G52" s="215">
        <f t="shared" si="13"/>
        <v>0</v>
      </c>
      <c r="H52" s="309">
        <f t="shared" si="13"/>
        <v>0</v>
      </c>
      <c r="I52" s="134">
        <f t="shared" si="13"/>
        <v>0</v>
      </c>
      <c r="J52" s="309">
        <f t="shared" si="13"/>
        <v>0</v>
      </c>
      <c r="K52" s="39">
        <f t="shared" si="13"/>
        <v>0</v>
      </c>
      <c r="L52" s="309">
        <f t="shared" si="13"/>
        <v>0</v>
      </c>
      <c r="M52" s="212">
        <f t="shared" si="13"/>
        <v>0</v>
      </c>
      <c r="N52" s="309">
        <f t="shared" si="13"/>
        <v>0</v>
      </c>
      <c r="O52" s="213">
        <f t="shared" si="13"/>
        <v>0</v>
      </c>
      <c r="P52" s="309">
        <f t="shared" si="13"/>
        <v>-1</v>
      </c>
      <c r="Q52" s="309">
        <f t="shared" si="13"/>
        <v>0</v>
      </c>
      <c r="R52" s="212">
        <f t="shared" si="13"/>
        <v>0</v>
      </c>
      <c r="S52" s="212">
        <f t="shared" si="1"/>
        <v>-1</v>
      </c>
    </row>
    <row r="53" spans="1:19" ht="15.75" thickBot="1" x14ac:dyDescent="0.3">
      <c r="A53" s="1232"/>
      <c r="B53" s="1234"/>
      <c r="C53" s="75" t="s">
        <v>338</v>
      </c>
      <c r="D53" s="98">
        <v>2</v>
      </c>
      <c r="E53" s="952" t="s">
        <v>337</v>
      </c>
      <c r="F53" s="265">
        <f t="shared" ref="F53:R53" si="14">F34-F16</f>
        <v>-1</v>
      </c>
      <c r="G53" s="267">
        <f t="shared" si="14"/>
        <v>0</v>
      </c>
      <c r="H53" s="301">
        <f t="shared" si="14"/>
        <v>0</v>
      </c>
      <c r="I53" s="143">
        <f t="shared" si="14"/>
        <v>0</v>
      </c>
      <c r="J53" s="301">
        <f t="shared" si="14"/>
        <v>0</v>
      </c>
      <c r="K53" s="264">
        <f t="shared" si="14"/>
        <v>0</v>
      </c>
      <c r="L53" s="301">
        <f t="shared" si="14"/>
        <v>0</v>
      </c>
      <c r="M53" s="262">
        <f t="shared" si="14"/>
        <v>0</v>
      </c>
      <c r="N53" s="301">
        <f t="shared" si="14"/>
        <v>0</v>
      </c>
      <c r="O53" s="263">
        <f t="shared" si="14"/>
        <v>0</v>
      </c>
      <c r="P53" s="301">
        <f t="shared" si="14"/>
        <v>1</v>
      </c>
      <c r="Q53" s="301">
        <f t="shared" si="14"/>
        <v>0</v>
      </c>
      <c r="R53" s="262">
        <f t="shared" si="14"/>
        <v>0</v>
      </c>
      <c r="S53" s="262">
        <f t="shared" si="1"/>
        <v>1</v>
      </c>
    </row>
  </sheetData>
  <mergeCells count="28">
    <mergeCell ref="S38:S39"/>
    <mergeCell ref="E38:E39"/>
    <mergeCell ref="F38:F39"/>
    <mergeCell ref="B40:B43"/>
    <mergeCell ref="A1:A16"/>
    <mergeCell ref="A19:A34"/>
    <mergeCell ref="A38:A53"/>
    <mergeCell ref="B38:B39"/>
    <mergeCell ref="C38:C39"/>
    <mergeCell ref="D38:D39"/>
    <mergeCell ref="B44:B49"/>
    <mergeCell ref="B50:B53"/>
    <mergeCell ref="B21:B24"/>
    <mergeCell ref="B31:B34"/>
    <mergeCell ref="B13:B16"/>
    <mergeCell ref="F19:F20"/>
    <mergeCell ref="B25:B30"/>
    <mergeCell ref="B7:B12"/>
    <mergeCell ref="B1:B2"/>
    <mergeCell ref="B19:B20"/>
    <mergeCell ref="C19:C20"/>
    <mergeCell ref="F1:F2"/>
    <mergeCell ref="D19:D20"/>
    <mergeCell ref="E19:E20"/>
    <mergeCell ref="B3:B6"/>
    <mergeCell ref="C1:C2"/>
    <mergeCell ref="D1:D2"/>
    <mergeCell ref="E1:E2"/>
  </mergeCells>
  <conditionalFormatting sqref="E40:E49 E21:E30 E3:E12">
    <cfRule type="expression" dxfId="139" priority="130">
      <formula>$F3="TBD"</formula>
    </cfRule>
  </conditionalFormatting>
  <conditionalFormatting sqref="G43:S43 G24:R24 G6:R6">
    <cfRule type="expression" dxfId="138" priority="99">
      <formula>G$2&lt;&gt;"WREF"</formula>
    </cfRule>
  </conditionalFormatting>
  <conditionalFormatting sqref="G40:S42 G21:R23 G3:R5">
    <cfRule type="expression" dxfId="137" priority="98">
      <formula>G$2="WREF"</formula>
    </cfRule>
  </conditionalFormatting>
  <conditionalFormatting sqref="E31:E34">
    <cfRule type="expression" dxfId="136" priority="80">
      <formula>$F31="TBD"</formula>
    </cfRule>
  </conditionalFormatting>
  <conditionalFormatting sqref="D31:D34">
    <cfRule type="expression" dxfId="135" priority="76">
      <formula>$E31=4</formula>
    </cfRule>
    <cfRule type="expression" dxfId="134" priority="77">
      <formula>$E31=3</formula>
    </cfRule>
    <cfRule type="expression" dxfId="133" priority="78">
      <formula>$E31=2</formula>
    </cfRule>
    <cfRule type="expression" dxfId="132" priority="79">
      <formula>$E31=1</formula>
    </cfRule>
  </conditionalFormatting>
  <conditionalFormatting sqref="E13:E16">
    <cfRule type="expression" dxfId="131" priority="68">
      <formula>$F13="TBD"</formula>
    </cfRule>
  </conditionalFormatting>
  <conditionalFormatting sqref="D13:D16">
    <cfRule type="expression" dxfId="130" priority="64">
      <formula>$E13=4</formula>
    </cfRule>
    <cfRule type="expression" dxfId="129" priority="65">
      <formula>$E13=3</formula>
    </cfRule>
    <cfRule type="expression" dxfId="128" priority="66">
      <formula>$E13=2</formula>
    </cfRule>
    <cfRule type="expression" dxfId="127" priority="67">
      <formula>$E13=1</formula>
    </cfRule>
  </conditionalFormatting>
  <conditionalFormatting sqref="E50:E53">
    <cfRule type="expression" dxfId="126" priority="48">
      <formula>$F50="TBD"</formula>
    </cfRule>
  </conditionalFormatting>
  <conditionalFormatting sqref="D50:D53">
    <cfRule type="expression" dxfId="125" priority="44">
      <formula>$E50=4</formula>
    </cfRule>
    <cfRule type="expression" dxfId="124" priority="45">
      <formula>$E50=3</formula>
    </cfRule>
    <cfRule type="expression" dxfId="123" priority="46">
      <formula>$E50=2</formula>
    </cfRule>
    <cfRule type="expression" dxfId="122" priority="47">
      <formula>$E50=1</formula>
    </cfRule>
  </conditionalFormatting>
  <conditionalFormatting sqref="F40:S53">
    <cfRule type="expression" dxfId="121" priority="10">
      <formula>F40&lt;0</formula>
    </cfRule>
    <cfRule type="expression" dxfId="120" priority="11">
      <formula>F40&gt;0</formula>
    </cfRule>
  </conditionalFormatting>
  <conditionalFormatting sqref="D3:D53">
    <cfRule type="expression" dxfId="119" priority="126">
      <formula>$D3=4</formula>
    </cfRule>
    <cfRule type="expression" dxfId="118" priority="127">
      <formula>$D3=3</formula>
    </cfRule>
    <cfRule type="expression" dxfId="117" priority="128">
      <formula>$D3=2</formula>
    </cfRule>
    <cfRule type="expression" dxfId="116" priority="129">
      <formula>$D3=1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680" id="{BC58E57F-EF53-4CB7-AB26-28DED080C551}">
            <xm:f>VLOOKUP(G$2,'TIS Site Config'!$A$4:$C$51,3,FALSE)="Soft"</xm:f>
            <x14:dxf>
              <fill>
                <patternFill>
                  <bgColor rgb="FFFFFF00"/>
                </patternFill>
              </fill>
            </x14:dxf>
          </x14:cfRule>
          <xm:sqref>G44:R49 S40:S53 G3:R4 G25:R34 G21:R22 G40:R41 G7:R16 G50:S53</xm:sqref>
        </x14:conditionalFormatting>
        <x14:conditionalFormatting xmlns:xm="http://schemas.microsoft.com/office/excel/2006/main">
          <x14:cfRule type="expression" priority="2684" id="{77BA2934-0005-45C6-A806-1B451A007B3E}">
            <xm:f>VLOOKUP(G$2,'TIS Site Config'!$A$4:$F$51,6,FALSE)&lt;&gt;"Extreme Heated"</xm:f>
            <x14:dxf>
              <fill>
                <patternFill>
                  <bgColor theme="0" tint="-0.499984740745262"/>
                </patternFill>
              </fill>
            </x14:dxf>
          </x14:cfRule>
          <xm:sqref>G11:R12 G42:S42 G23:R23 G5:R5 G29:R30 G48:S49</xm:sqref>
        </x14:conditionalFormatting>
        <x14:conditionalFormatting xmlns:xm="http://schemas.microsoft.com/office/excel/2006/main">
          <x14:cfRule type="expression" priority="2688" id="{AB26E5C0-0F72-4009-997A-85A1C7B741BC}">
            <xm:f>VLOOKUP(G$2,'TIS Site Config'!$A$4:$F$51, 6, FALSE)="Extreme Heated"</xm:f>
            <x14:dxf>
              <fill>
                <patternFill>
                  <bgColor theme="0" tint="-0.499984740745262"/>
                </patternFill>
              </fill>
            </x14:dxf>
          </x14:cfRule>
          <xm:sqref>G7:R10 G25:R28 G3:R4 G21:R22 G44:S47 G40:S41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O197"/>
  <sheetViews>
    <sheetView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5" x14ac:dyDescent="0.25"/>
  <cols>
    <col min="1" max="1" width="9.140625" style="24"/>
    <col min="2" max="2" width="23.5703125" style="2" customWidth="1"/>
    <col min="3" max="3" width="21.42578125" style="27" customWidth="1"/>
    <col min="4" max="4" width="33.140625" style="28" customWidth="1"/>
    <col min="5" max="5" width="42.7109375" style="6" customWidth="1"/>
    <col min="6" max="6" width="17.28515625" style="28" customWidth="1"/>
    <col min="7" max="7" width="17.85546875" style="28" customWidth="1"/>
    <col min="8" max="8" width="17.140625" style="28" customWidth="1"/>
    <col min="9" max="9" width="17.7109375" style="28" customWidth="1"/>
    <col min="10" max="10" width="17.5703125" style="28" customWidth="1"/>
    <col min="11" max="12" width="18.7109375" style="28" customWidth="1"/>
    <col min="13" max="13" width="19.28515625" style="28" customWidth="1"/>
    <col min="14" max="14" width="20" style="10" customWidth="1"/>
    <col min="15" max="15" width="9" style="10" customWidth="1"/>
    <col min="16" max="16384" width="9.140625" style="10"/>
  </cols>
  <sheetData>
    <row r="1" spans="1:13" ht="15.75" thickBot="1" x14ac:dyDescent="0.3">
      <c r="D1" s="28" t="s">
        <v>15</v>
      </c>
    </row>
    <row r="2" spans="1:13" ht="24" thickBot="1" x14ac:dyDescent="0.4">
      <c r="A2" s="25" t="s">
        <v>36</v>
      </c>
      <c r="B2" s="18" t="s">
        <v>1104</v>
      </c>
      <c r="C2" s="19" t="s">
        <v>1102</v>
      </c>
      <c r="D2" s="23" t="s">
        <v>1103</v>
      </c>
      <c r="E2" s="320" t="s">
        <v>1105</v>
      </c>
      <c r="F2" s="1243" t="s">
        <v>1</v>
      </c>
      <c r="G2" s="1244"/>
      <c r="H2" s="1244"/>
      <c r="I2" s="1244"/>
      <c r="J2" s="1244"/>
      <c r="K2" s="1244"/>
      <c r="L2" s="1244"/>
      <c r="M2" s="1245"/>
    </row>
    <row r="3" spans="1:13" ht="30" customHeight="1" x14ac:dyDescent="0.25">
      <c r="B3" s="1235" t="s">
        <v>37</v>
      </c>
      <c r="C3" s="1242" t="s">
        <v>38</v>
      </c>
      <c r="D3" s="333" t="s">
        <v>40</v>
      </c>
      <c r="E3" s="381" t="str">
        <f>D3</f>
        <v>Tower Cattle Fence</v>
      </c>
      <c r="F3" s="381" t="s">
        <v>24</v>
      </c>
      <c r="G3" s="381"/>
      <c r="H3" s="381"/>
      <c r="I3" s="381"/>
      <c r="J3" s="381"/>
      <c r="K3" s="381"/>
      <c r="L3" s="382"/>
      <c r="M3" s="383"/>
    </row>
    <row r="4" spans="1:13" s="950" customFormat="1" ht="30" x14ac:dyDescent="0.25">
      <c r="A4" s="24"/>
      <c r="B4" s="1236"/>
      <c r="C4" s="1238"/>
      <c r="D4" s="1086" t="s">
        <v>627</v>
      </c>
      <c r="E4" s="29" t="str">
        <f t="shared" ref="E4" si="0">D4</f>
        <v>Tower Guy Anchors</v>
      </c>
      <c r="F4" s="29" t="s">
        <v>24</v>
      </c>
      <c r="G4" s="29" t="s">
        <v>25</v>
      </c>
      <c r="H4" s="29"/>
      <c r="I4" s="29"/>
      <c r="J4" s="29"/>
      <c r="K4" s="29"/>
      <c r="L4" s="384"/>
      <c r="M4" s="385"/>
    </row>
    <row r="5" spans="1:13" ht="30" x14ac:dyDescent="0.25">
      <c r="B5" s="1236"/>
      <c r="C5" s="1238"/>
      <c r="D5" s="334" t="s">
        <v>622</v>
      </c>
      <c r="E5" s="29" t="str">
        <f>D5</f>
        <v>Tower Base Pivot Section</v>
      </c>
      <c r="F5" s="29" t="s">
        <v>24</v>
      </c>
      <c r="G5" s="29" t="s">
        <v>25</v>
      </c>
      <c r="H5" s="29"/>
      <c r="I5" s="29"/>
      <c r="J5" s="29"/>
      <c r="K5" s="29"/>
      <c r="L5" s="384"/>
      <c r="M5" s="385"/>
    </row>
    <row r="6" spans="1:13" ht="30" x14ac:dyDescent="0.25">
      <c r="B6" s="1236"/>
      <c r="C6" s="1238"/>
      <c r="D6" s="334" t="s">
        <v>619</v>
      </c>
      <c r="E6" s="29" t="str">
        <f t="shared" ref="E6:E25" si="1">D6</f>
        <v>Tower Base Section, Standard</v>
      </c>
      <c r="F6" s="29" t="s">
        <v>24</v>
      </c>
      <c r="G6" s="29" t="s">
        <v>25</v>
      </c>
      <c r="H6" s="29"/>
      <c r="I6" s="29"/>
      <c r="J6" s="29"/>
      <c r="K6" s="29"/>
      <c r="L6" s="384"/>
      <c r="M6" s="385"/>
    </row>
    <row r="7" spans="1:13" ht="30" x14ac:dyDescent="0.25">
      <c r="B7" s="1236"/>
      <c r="C7" s="1238"/>
      <c r="D7" s="334" t="s">
        <v>620</v>
      </c>
      <c r="E7" s="29" t="str">
        <f t="shared" si="1"/>
        <v>Tower Base Section, Heavy</v>
      </c>
      <c r="F7" s="29" t="s">
        <v>24</v>
      </c>
      <c r="G7" s="29" t="s">
        <v>25</v>
      </c>
      <c r="H7" s="29"/>
      <c r="I7" s="29"/>
      <c r="J7" s="29"/>
      <c r="K7" s="29"/>
      <c r="L7" s="384"/>
      <c r="M7" s="385"/>
    </row>
    <row r="8" spans="1:13" ht="29.25" customHeight="1" x14ac:dyDescent="0.25">
      <c r="B8" s="1236"/>
      <c r="C8" s="1238"/>
      <c r="D8" s="334" t="s">
        <v>621</v>
      </c>
      <c r="E8" s="29" t="str">
        <f t="shared" si="1"/>
        <v>Tower Base Section, Extreme Heavy</v>
      </c>
      <c r="F8" s="29" t="s">
        <v>24</v>
      </c>
      <c r="G8" s="29" t="s">
        <v>25</v>
      </c>
      <c r="H8" s="29"/>
      <c r="I8" s="29"/>
      <c r="J8" s="29"/>
      <c r="K8" s="29"/>
      <c r="L8" s="384"/>
      <c r="M8" s="385"/>
    </row>
    <row r="9" spans="1:13" ht="30" x14ac:dyDescent="0.25">
      <c r="B9" s="1236"/>
      <c r="C9" s="1238"/>
      <c r="D9" s="334" t="s">
        <v>623</v>
      </c>
      <c r="E9" s="29" t="str">
        <f t="shared" si="1"/>
        <v>Tower Mid Section, Standard</v>
      </c>
      <c r="F9" s="29" t="s">
        <v>24</v>
      </c>
      <c r="G9" s="29" t="s">
        <v>25</v>
      </c>
      <c r="H9" s="29"/>
      <c r="I9" s="29"/>
      <c r="J9" s="29"/>
      <c r="K9" s="29"/>
      <c r="L9" s="384"/>
      <c r="M9" s="385"/>
    </row>
    <row r="10" spans="1:13" ht="30" x14ac:dyDescent="0.25">
      <c r="B10" s="1236"/>
      <c r="C10" s="1238"/>
      <c r="D10" s="334" t="s">
        <v>624</v>
      </c>
      <c r="E10" s="29" t="str">
        <f t="shared" si="1"/>
        <v>Tower Mid Section, Heavy</v>
      </c>
      <c r="F10" s="29" t="s">
        <v>24</v>
      </c>
      <c r="G10" s="29" t="s">
        <v>25</v>
      </c>
      <c r="H10" s="29"/>
      <c r="I10" s="29"/>
      <c r="J10" s="358"/>
      <c r="K10" s="358"/>
      <c r="L10" s="386"/>
      <c r="M10" s="385"/>
    </row>
    <row r="11" spans="1:13" ht="30" x14ac:dyDescent="0.25">
      <c r="B11" s="1236"/>
      <c r="C11" s="1238"/>
      <c r="D11" s="334" t="s">
        <v>625</v>
      </c>
      <c r="E11" s="29" t="str">
        <f t="shared" si="1"/>
        <v>Tower Mid Section, Extreme Heavy</v>
      </c>
      <c r="F11" s="29" t="s">
        <v>24</v>
      </c>
      <c r="G11" s="29" t="s">
        <v>25</v>
      </c>
      <c r="H11" s="29"/>
      <c r="I11" s="29"/>
      <c r="J11" s="358"/>
      <c r="K11" s="358"/>
      <c r="L11" s="386"/>
      <c r="M11" s="385"/>
    </row>
    <row r="12" spans="1:13" ht="45" x14ac:dyDescent="0.25">
      <c r="B12" s="1236"/>
      <c r="C12" s="1238"/>
      <c r="D12" s="1099" t="s">
        <v>626</v>
      </c>
      <c r="E12" s="29" t="str">
        <f t="shared" si="1"/>
        <v>Tower Top Section</v>
      </c>
      <c r="F12" s="29" t="s">
        <v>24</v>
      </c>
      <c r="G12" s="29" t="s">
        <v>25</v>
      </c>
      <c r="H12" s="29" t="s">
        <v>39</v>
      </c>
      <c r="I12" s="29"/>
      <c r="J12" s="358"/>
      <c r="K12" s="358"/>
      <c r="L12" s="386"/>
      <c r="M12" s="385"/>
    </row>
    <row r="13" spans="1:13" s="950" customFormat="1" ht="30.75" thickBot="1" x14ac:dyDescent="0.3">
      <c r="A13" s="24"/>
      <c r="B13" s="1236"/>
      <c r="C13" s="1239"/>
      <c r="D13" s="1106" t="s">
        <v>1135</v>
      </c>
      <c r="E13" s="396" t="str">
        <f t="shared" si="1"/>
        <v>FAA Lighting System</v>
      </c>
      <c r="F13" s="396" t="s">
        <v>24</v>
      </c>
      <c r="G13" s="387" t="s">
        <v>26</v>
      </c>
      <c r="H13" s="396" t="s">
        <v>25</v>
      </c>
      <c r="I13" s="396"/>
      <c r="J13" s="1102"/>
      <c r="K13" s="1102"/>
      <c r="L13" s="1103"/>
      <c r="M13" s="398"/>
    </row>
    <row r="14" spans="1:13" ht="30.75" thickTop="1" x14ac:dyDescent="0.25">
      <c r="B14" s="1236"/>
      <c r="C14" s="1238" t="s">
        <v>13</v>
      </c>
      <c r="D14" s="306" t="s">
        <v>41</v>
      </c>
      <c r="E14" s="304" t="str">
        <f t="shared" si="1"/>
        <v>Hut Structure</v>
      </c>
      <c r="F14" s="304" t="s">
        <v>24</v>
      </c>
      <c r="G14" s="304" t="s">
        <v>26</v>
      </c>
      <c r="H14" s="304" t="s">
        <v>25</v>
      </c>
      <c r="I14" s="304"/>
      <c r="J14" s="356"/>
      <c r="K14" s="356"/>
      <c r="L14" s="391"/>
      <c r="M14" s="34"/>
    </row>
    <row r="15" spans="1:13" ht="30" x14ac:dyDescent="0.25">
      <c r="B15" s="1236"/>
      <c r="C15" s="1238"/>
      <c r="D15" s="305" t="s">
        <v>42</v>
      </c>
      <c r="E15" s="29" t="str">
        <f t="shared" si="1"/>
        <v>HVAC</v>
      </c>
      <c r="F15" s="29" t="s">
        <v>24</v>
      </c>
      <c r="G15" s="29" t="s">
        <v>26</v>
      </c>
      <c r="H15" s="29" t="s">
        <v>25</v>
      </c>
      <c r="I15" s="29"/>
      <c r="J15" s="358"/>
      <c r="K15" s="358"/>
      <c r="L15" s="386"/>
      <c r="M15" s="385"/>
    </row>
    <row r="16" spans="1:13" ht="30.75" thickBot="1" x14ac:dyDescent="0.3">
      <c r="B16" s="1236"/>
      <c r="C16" s="1239"/>
      <c r="D16" s="30" t="s">
        <v>43</v>
      </c>
      <c r="E16" s="387" t="str">
        <f t="shared" si="1"/>
        <v>Exhaust Fan</v>
      </c>
      <c r="F16" s="387" t="s">
        <v>24</v>
      </c>
      <c r="G16" s="387" t="s">
        <v>26</v>
      </c>
      <c r="H16" s="387" t="s">
        <v>25</v>
      </c>
      <c r="I16" s="387"/>
      <c r="J16" s="388"/>
      <c r="K16" s="388"/>
      <c r="L16" s="389"/>
      <c r="M16" s="390"/>
    </row>
    <row r="17" spans="1:15" ht="30.75" thickTop="1" x14ac:dyDescent="0.25">
      <c r="B17" s="1236"/>
      <c r="C17" s="1241" t="s">
        <v>44</v>
      </c>
      <c r="D17" s="314" t="s">
        <v>45</v>
      </c>
      <c r="E17" s="392" t="str">
        <f t="shared" si="1"/>
        <v>Boardwalk</v>
      </c>
      <c r="F17" s="392" t="s">
        <v>24</v>
      </c>
      <c r="G17" s="392" t="s">
        <v>83</v>
      </c>
      <c r="H17" s="392"/>
      <c r="I17" s="392"/>
      <c r="J17" s="393"/>
      <c r="K17" s="393"/>
      <c r="L17" s="394"/>
      <c r="M17" s="395"/>
    </row>
    <row r="18" spans="1:15" ht="30" x14ac:dyDescent="0.25">
      <c r="B18" s="1236"/>
      <c r="C18" s="1238"/>
      <c r="D18" s="305" t="s">
        <v>46</v>
      </c>
      <c r="E18" s="29" t="str">
        <f t="shared" si="1"/>
        <v>Utility Pedestal</v>
      </c>
      <c r="F18" s="29" t="s">
        <v>24</v>
      </c>
      <c r="G18" s="29" t="s">
        <v>26</v>
      </c>
      <c r="H18" s="29" t="s">
        <v>25</v>
      </c>
      <c r="I18" s="29"/>
      <c r="J18" s="358"/>
      <c r="K18" s="358"/>
      <c r="L18" s="386"/>
      <c r="M18" s="385"/>
    </row>
    <row r="19" spans="1:15" ht="30" x14ac:dyDescent="0.25">
      <c r="B19" s="1236"/>
      <c r="C19" s="1238"/>
      <c r="D19" s="305" t="s">
        <v>737</v>
      </c>
      <c r="E19" s="29" t="str">
        <f t="shared" si="1"/>
        <v>Conduit, Conductors, and Fiber</v>
      </c>
      <c r="F19" s="29" t="s">
        <v>24</v>
      </c>
      <c r="G19" s="29" t="s">
        <v>26</v>
      </c>
      <c r="H19" s="29" t="s">
        <v>698</v>
      </c>
      <c r="I19" s="29"/>
      <c r="J19" s="358"/>
      <c r="K19" s="358"/>
      <c r="L19" s="386"/>
      <c r="M19" s="385"/>
    </row>
    <row r="20" spans="1:15" ht="30" x14ac:dyDescent="0.25">
      <c r="B20" s="1236"/>
      <c r="C20" s="1238"/>
      <c r="D20" s="305" t="s">
        <v>47</v>
      </c>
      <c r="E20" s="29" t="str">
        <f t="shared" si="1"/>
        <v>Improved Path</v>
      </c>
      <c r="F20" s="29" t="s">
        <v>24</v>
      </c>
      <c r="G20" s="29"/>
      <c r="H20" s="29"/>
      <c r="I20" s="29"/>
      <c r="J20" s="29"/>
      <c r="K20" s="29"/>
      <c r="L20" s="384"/>
      <c r="M20" s="385"/>
    </row>
    <row r="21" spans="1:15" s="44" customFormat="1" ht="30.75" thickBot="1" x14ac:dyDescent="0.3">
      <c r="A21" s="24"/>
      <c r="B21" s="1236"/>
      <c r="C21" s="1239"/>
      <c r="D21" s="315" t="s">
        <v>628</v>
      </c>
      <c r="E21" s="396" t="str">
        <f t="shared" si="1"/>
        <v>Cattle Fence, Soil PDS (Arbors and Soil Plot)</v>
      </c>
      <c r="F21" s="396" t="s">
        <v>24</v>
      </c>
      <c r="G21" s="396"/>
      <c r="H21" s="396"/>
      <c r="I21" s="396"/>
      <c r="J21" s="396"/>
      <c r="K21" s="396"/>
      <c r="L21" s="397"/>
      <c r="M21" s="398"/>
    </row>
    <row r="22" spans="1:15" ht="30.75" thickTop="1" x14ac:dyDescent="0.25">
      <c r="B22" s="1236"/>
      <c r="C22" s="1238" t="s">
        <v>12</v>
      </c>
      <c r="D22" s="306" t="s">
        <v>733</v>
      </c>
      <c r="E22" s="304" t="str">
        <f t="shared" si="1"/>
        <v>Double Fence</v>
      </c>
      <c r="F22" s="304" t="s">
        <v>24</v>
      </c>
      <c r="G22" s="304"/>
      <c r="H22" s="304"/>
      <c r="I22" s="304"/>
      <c r="J22" s="304"/>
      <c r="K22" s="304"/>
      <c r="L22" s="322"/>
      <c r="M22" s="34"/>
    </row>
    <row r="23" spans="1:15" ht="30" x14ac:dyDescent="0.25">
      <c r="B23" s="1236"/>
      <c r="C23" s="1238"/>
      <c r="D23" s="305" t="s">
        <v>734</v>
      </c>
      <c r="E23" s="29" t="str">
        <f t="shared" si="1"/>
        <v>Altar Foundation</v>
      </c>
      <c r="F23" s="29" t="s">
        <v>24</v>
      </c>
      <c r="G23" s="29"/>
      <c r="H23" s="29"/>
      <c r="I23" s="29"/>
      <c r="J23" s="29"/>
      <c r="K23" s="29"/>
      <c r="L23" s="384"/>
      <c r="M23" s="385"/>
    </row>
    <row r="24" spans="1:15" s="44" customFormat="1" ht="30" x14ac:dyDescent="0.25">
      <c r="A24" s="24"/>
      <c r="B24" s="1236"/>
      <c r="C24" s="1238"/>
      <c r="D24" s="305" t="s">
        <v>735</v>
      </c>
      <c r="E24" s="399" t="str">
        <f t="shared" si="1"/>
        <v>Cattle Fence, PDS</v>
      </c>
      <c r="F24" s="29" t="s">
        <v>24</v>
      </c>
      <c r="G24" s="399"/>
      <c r="H24" s="399"/>
      <c r="I24" s="399"/>
      <c r="J24" s="399"/>
      <c r="K24" s="399"/>
      <c r="L24" s="400"/>
      <c r="M24" s="401"/>
    </row>
    <row r="25" spans="1:15" ht="30.75" thickBot="1" x14ac:dyDescent="0.3">
      <c r="B25" s="1237"/>
      <c r="C25" s="1240"/>
      <c r="D25" s="32" t="s">
        <v>736</v>
      </c>
      <c r="E25" s="402" t="str">
        <f t="shared" si="1"/>
        <v>Cattle Fence, Sensor</v>
      </c>
      <c r="F25" s="402" t="s">
        <v>24</v>
      </c>
      <c r="G25" s="402"/>
      <c r="H25" s="402"/>
      <c r="I25" s="402"/>
      <c r="J25" s="364"/>
      <c r="K25" s="364"/>
      <c r="L25" s="403"/>
      <c r="M25" s="404"/>
    </row>
    <row r="26" spans="1:15" ht="30.75" customHeight="1" thickBot="1" x14ac:dyDescent="0.3">
      <c r="B26" s="1235" t="s">
        <v>48</v>
      </c>
      <c r="C26" s="33" t="s">
        <v>13</v>
      </c>
      <c r="D26" s="310" t="s">
        <v>756</v>
      </c>
      <c r="E26" s="310"/>
      <c r="F26" s="405" t="s">
        <v>699</v>
      </c>
      <c r="G26" s="405" t="s">
        <v>14</v>
      </c>
      <c r="H26" s="405" t="s">
        <v>54</v>
      </c>
      <c r="I26" s="405" t="s">
        <v>55</v>
      </c>
      <c r="J26" s="405" t="s">
        <v>26</v>
      </c>
      <c r="K26" s="405" t="s">
        <v>25</v>
      </c>
      <c r="L26" s="406" t="s">
        <v>56</v>
      </c>
      <c r="M26" s="407"/>
    </row>
    <row r="27" spans="1:15" s="44" customFormat="1" ht="30.75" thickTop="1" x14ac:dyDescent="0.25">
      <c r="A27" s="24"/>
      <c r="B27" s="1236"/>
      <c r="C27" s="1238" t="s">
        <v>38</v>
      </c>
      <c r="D27" s="1250" t="s">
        <v>583</v>
      </c>
      <c r="E27" s="378" t="s">
        <v>757</v>
      </c>
      <c r="F27" s="304" t="s">
        <v>395</v>
      </c>
      <c r="G27" s="304" t="s">
        <v>700</v>
      </c>
      <c r="H27" s="304" t="s">
        <v>396</v>
      </c>
      <c r="I27" s="304" t="s">
        <v>701</v>
      </c>
      <c r="J27" s="304" t="s">
        <v>24</v>
      </c>
      <c r="K27" s="304" t="s">
        <v>26</v>
      </c>
      <c r="L27" s="322" t="s">
        <v>25</v>
      </c>
      <c r="M27" s="34"/>
    </row>
    <row r="28" spans="1:15" ht="30" x14ac:dyDescent="0.25">
      <c r="B28" s="1236"/>
      <c r="C28" s="1238"/>
      <c r="D28" s="1247"/>
      <c r="E28" s="380" t="s">
        <v>758</v>
      </c>
      <c r="F28" s="29" t="s">
        <v>395</v>
      </c>
      <c r="G28" s="29" t="s">
        <v>700</v>
      </c>
      <c r="H28" s="29" t="s">
        <v>396</v>
      </c>
      <c r="I28" s="29" t="s">
        <v>701</v>
      </c>
      <c r="J28" s="29" t="s">
        <v>24</v>
      </c>
      <c r="K28" s="29" t="s">
        <v>26</v>
      </c>
      <c r="L28" s="384" t="s">
        <v>25</v>
      </c>
      <c r="M28" s="385"/>
    </row>
    <row r="29" spans="1:15" s="44" customFormat="1" ht="30" x14ac:dyDescent="0.25">
      <c r="A29" s="24"/>
      <c r="B29" s="1236"/>
      <c r="C29" s="1238"/>
      <c r="D29" s="1247"/>
      <c r="E29" s="380" t="s">
        <v>759</v>
      </c>
      <c r="F29" s="29" t="s">
        <v>395</v>
      </c>
      <c r="G29" s="29" t="s">
        <v>700</v>
      </c>
      <c r="H29" s="29" t="s">
        <v>396</v>
      </c>
      <c r="I29" s="29" t="s">
        <v>701</v>
      </c>
      <c r="J29" s="29" t="s">
        <v>24</v>
      </c>
      <c r="K29" s="29" t="s">
        <v>26</v>
      </c>
      <c r="L29" s="384" t="s">
        <v>25</v>
      </c>
      <c r="M29" s="385"/>
    </row>
    <row r="30" spans="1:15" ht="30" x14ac:dyDescent="0.25">
      <c r="B30" s="1236"/>
      <c r="C30" s="1238"/>
      <c r="D30" s="1247"/>
      <c r="E30" s="380" t="s">
        <v>760</v>
      </c>
      <c r="F30" s="29" t="s">
        <v>395</v>
      </c>
      <c r="G30" s="29" t="s">
        <v>700</v>
      </c>
      <c r="H30" s="29" t="s">
        <v>396</v>
      </c>
      <c r="I30" s="29" t="s">
        <v>701</v>
      </c>
      <c r="J30" s="29" t="s">
        <v>24</v>
      </c>
      <c r="K30" s="29" t="s">
        <v>26</v>
      </c>
      <c r="L30" s="384" t="s">
        <v>25</v>
      </c>
      <c r="M30" s="385"/>
      <c r="O30" s="311"/>
    </row>
    <row r="31" spans="1:15" ht="30" x14ac:dyDescent="0.25">
      <c r="B31" s="1236"/>
      <c r="C31" s="1238"/>
      <c r="D31" s="1249"/>
      <c r="E31" s="380" t="s">
        <v>761</v>
      </c>
      <c r="F31" s="29" t="s">
        <v>395</v>
      </c>
      <c r="G31" s="29" t="s">
        <v>700</v>
      </c>
      <c r="H31" s="29" t="s">
        <v>396</v>
      </c>
      <c r="I31" s="29" t="s">
        <v>701</v>
      </c>
      <c r="J31" s="29" t="s">
        <v>24</v>
      </c>
      <c r="K31" s="29" t="s">
        <v>26</v>
      </c>
      <c r="L31" s="384" t="s">
        <v>25</v>
      </c>
      <c r="M31" s="385"/>
    </row>
    <row r="32" spans="1:15" ht="30" x14ac:dyDescent="0.25">
      <c r="B32" s="1236"/>
      <c r="C32" s="1238"/>
      <c r="D32" s="1246" t="s">
        <v>586</v>
      </c>
      <c r="E32" s="380" t="s">
        <v>755</v>
      </c>
      <c r="F32" s="29" t="s">
        <v>395</v>
      </c>
      <c r="G32" s="29" t="s">
        <v>700</v>
      </c>
      <c r="H32" s="29" t="s">
        <v>396</v>
      </c>
      <c r="I32" s="29" t="s">
        <v>701</v>
      </c>
      <c r="J32" s="29" t="s">
        <v>24</v>
      </c>
      <c r="K32" s="29" t="s">
        <v>26</v>
      </c>
      <c r="L32" s="384" t="s">
        <v>25</v>
      </c>
      <c r="M32" s="385"/>
    </row>
    <row r="33" spans="1:13" ht="30" x14ac:dyDescent="0.25">
      <c r="B33" s="1236"/>
      <c r="C33" s="1238"/>
      <c r="D33" s="1247"/>
      <c r="E33" s="380" t="s">
        <v>754</v>
      </c>
      <c r="F33" s="29" t="s">
        <v>395</v>
      </c>
      <c r="G33" s="29" t="s">
        <v>700</v>
      </c>
      <c r="H33" s="29" t="s">
        <v>396</v>
      </c>
      <c r="I33" s="29" t="s">
        <v>701</v>
      </c>
      <c r="J33" s="29" t="s">
        <v>24</v>
      </c>
      <c r="K33" s="29" t="s">
        <v>26</v>
      </c>
      <c r="L33" s="384" t="s">
        <v>25</v>
      </c>
      <c r="M33" s="385"/>
    </row>
    <row r="34" spans="1:13" s="44" customFormat="1" ht="30.75" customHeight="1" x14ac:dyDescent="0.25">
      <c r="A34" s="24"/>
      <c r="B34" s="1236"/>
      <c r="C34" s="1238"/>
      <c r="D34" s="1247"/>
      <c r="E34" s="380" t="s">
        <v>753</v>
      </c>
      <c r="F34" s="29" t="s">
        <v>395</v>
      </c>
      <c r="G34" s="29" t="s">
        <v>700</v>
      </c>
      <c r="H34" s="29" t="s">
        <v>396</v>
      </c>
      <c r="I34" s="29" t="s">
        <v>701</v>
      </c>
      <c r="J34" s="29" t="s">
        <v>24</v>
      </c>
      <c r="K34" s="29" t="s">
        <v>26</v>
      </c>
      <c r="L34" s="384" t="s">
        <v>25</v>
      </c>
      <c r="M34" s="385"/>
    </row>
    <row r="35" spans="1:13" ht="30" x14ac:dyDescent="0.25">
      <c r="B35" s="1236"/>
      <c r="C35" s="1238"/>
      <c r="D35" s="1247"/>
      <c r="E35" s="380" t="s">
        <v>752</v>
      </c>
      <c r="F35" s="29" t="s">
        <v>395</v>
      </c>
      <c r="G35" s="29" t="s">
        <v>700</v>
      </c>
      <c r="H35" s="29"/>
      <c r="I35" s="29"/>
      <c r="J35" s="29" t="s">
        <v>24</v>
      </c>
      <c r="K35" s="29" t="s">
        <v>26</v>
      </c>
      <c r="L35" s="384" t="s">
        <v>25</v>
      </c>
      <c r="M35" s="385"/>
    </row>
    <row r="36" spans="1:13" s="44" customFormat="1" ht="30" x14ac:dyDescent="0.25">
      <c r="A36" s="24"/>
      <c r="B36" s="1236"/>
      <c r="C36" s="1238"/>
      <c r="D36" s="1249"/>
      <c r="E36" s="380" t="s">
        <v>751</v>
      </c>
      <c r="F36" s="29" t="s">
        <v>395</v>
      </c>
      <c r="G36" s="29" t="s">
        <v>700</v>
      </c>
      <c r="H36" s="29"/>
      <c r="I36" s="29"/>
      <c r="J36" s="29" t="s">
        <v>24</v>
      </c>
      <c r="K36" s="29" t="s">
        <v>26</v>
      </c>
      <c r="L36" s="384" t="s">
        <v>25</v>
      </c>
      <c r="M36" s="385"/>
    </row>
    <row r="37" spans="1:13" ht="30" x14ac:dyDescent="0.25">
      <c r="B37" s="1236"/>
      <c r="C37" s="1238"/>
      <c r="D37" s="1246" t="s">
        <v>584</v>
      </c>
      <c r="E37" s="380" t="s">
        <v>750</v>
      </c>
      <c r="F37" s="29" t="s">
        <v>395</v>
      </c>
      <c r="G37" s="29" t="s">
        <v>700</v>
      </c>
      <c r="H37" s="29" t="s">
        <v>396</v>
      </c>
      <c r="I37" s="29" t="s">
        <v>701</v>
      </c>
      <c r="J37" s="29" t="s">
        <v>24</v>
      </c>
      <c r="K37" s="29" t="s">
        <v>26</v>
      </c>
      <c r="L37" s="384" t="s">
        <v>25</v>
      </c>
      <c r="M37" s="385"/>
    </row>
    <row r="38" spans="1:13" s="44" customFormat="1" ht="30.75" customHeight="1" x14ac:dyDescent="0.25">
      <c r="A38" s="24"/>
      <c r="B38" s="1236"/>
      <c r="C38" s="1238"/>
      <c r="D38" s="1247"/>
      <c r="E38" s="380" t="s">
        <v>749</v>
      </c>
      <c r="F38" s="399" t="s">
        <v>395</v>
      </c>
      <c r="G38" s="399" t="s">
        <v>700</v>
      </c>
      <c r="H38" s="399" t="s">
        <v>396</v>
      </c>
      <c r="I38" s="399" t="s">
        <v>701</v>
      </c>
      <c r="J38" s="399" t="s">
        <v>24</v>
      </c>
      <c r="K38" s="399" t="s">
        <v>26</v>
      </c>
      <c r="L38" s="400" t="s">
        <v>25</v>
      </c>
      <c r="M38" s="401"/>
    </row>
    <row r="39" spans="1:13" ht="30.75" thickBot="1" x14ac:dyDescent="0.3">
      <c r="B39" s="1236"/>
      <c r="C39" s="1239"/>
      <c r="D39" s="1254"/>
      <c r="E39" s="30" t="s">
        <v>748</v>
      </c>
      <c r="F39" s="387" t="s">
        <v>395</v>
      </c>
      <c r="G39" s="387" t="s">
        <v>700</v>
      </c>
      <c r="H39" s="387" t="s">
        <v>396</v>
      </c>
      <c r="I39" s="387" t="s">
        <v>701</v>
      </c>
      <c r="J39" s="387" t="s">
        <v>24</v>
      </c>
      <c r="K39" s="387" t="s">
        <v>26</v>
      </c>
      <c r="L39" s="408" t="s">
        <v>25</v>
      </c>
      <c r="M39" s="390"/>
    </row>
    <row r="40" spans="1:13" ht="30.75" thickTop="1" x14ac:dyDescent="0.25">
      <c r="B40" s="1236"/>
      <c r="C40" s="1241" t="s">
        <v>629</v>
      </c>
      <c r="D40" s="1255" t="s">
        <v>51</v>
      </c>
      <c r="E40" s="379" t="s">
        <v>744</v>
      </c>
      <c r="F40" s="304" t="s">
        <v>395</v>
      </c>
      <c r="G40" s="304" t="s">
        <v>700</v>
      </c>
      <c r="H40" s="409" t="s">
        <v>10</v>
      </c>
      <c r="I40" s="409"/>
      <c r="J40" s="409" t="s">
        <v>24</v>
      </c>
      <c r="K40" s="409" t="s">
        <v>26</v>
      </c>
      <c r="L40" s="409" t="s">
        <v>25</v>
      </c>
      <c r="M40" s="1110"/>
    </row>
    <row r="41" spans="1:13" s="44" customFormat="1" ht="30" x14ac:dyDescent="0.25">
      <c r="A41" s="24"/>
      <c r="B41" s="1236"/>
      <c r="C41" s="1238"/>
      <c r="D41" s="1256"/>
      <c r="E41" s="380" t="s">
        <v>745</v>
      </c>
      <c r="F41" s="29" t="s">
        <v>395</v>
      </c>
      <c r="G41" s="29" t="s">
        <v>700</v>
      </c>
      <c r="H41" s="29" t="s">
        <v>10</v>
      </c>
      <c r="I41" s="29"/>
      <c r="J41" s="29" t="s">
        <v>24</v>
      </c>
      <c r="K41" s="29" t="s">
        <v>26</v>
      </c>
      <c r="L41" s="29" t="s">
        <v>25</v>
      </c>
      <c r="M41" s="385"/>
    </row>
    <row r="42" spans="1:13" ht="30" x14ac:dyDescent="0.25">
      <c r="B42" s="1236"/>
      <c r="C42" s="1238"/>
      <c r="D42" s="1257" t="s">
        <v>587</v>
      </c>
      <c r="E42" s="380" t="s">
        <v>746</v>
      </c>
      <c r="F42" s="29"/>
      <c r="G42" s="29"/>
      <c r="H42" s="399" t="s">
        <v>396</v>
      </c>
      <c r="I42" s="399" t="s">
        <v>701</v>
      </c>
      <c r="J42" s="399" t="s">
        <v>24</v>
      </c>
      <c r="K42" s="399" t="s">
        <v>26</v>
      </c>
      <c r="L42" s="400" t="s">
        <v>25</v>
      </c>
      <c r="M42" s="401"/>
    </row>
    <row r="43" spans="1:13" ht="30.75" thickBot="1" x14ac:dyDescent="0.3">
      <c r="B43" s="1236"/>
      <c r="C43" s="1239"/>
      <c r="D43" s="1258"/>
      <c r="E43" s="380" t="s">
        <v>747</v>
      </c>
      <c r="F43" s="387"/>
      <c r="G43" s="387"/>
      <c r="H43" s="387" t="s">
        <v>396</v>
      </c>
      <c r="I43" s="387" t="s">
        <v>701</v>
      </c>
      <c r="J43" s="387" t="s">
        <v>24</v>
      </c>
      <c r="K43" s="387" t="s">
        <v>26</v>
      </c>
      <c r="L43" s="408" t="s">
        <v>25</v>
      </c>
      <c r="M43" s="390"/>
    </row>
    <row r="44" spans="1:13" ht="30.75" thickTop="1" x14ac:dyDescent="0.25">
      <c r="B44" s="1236"/>
      <c r="C44" s="1241" t="s">
        <v>12</v>
      </c>
      <c r="D44" s="1255" t="s">
        <v>588</v>
      </c>
      <c r="E44" s="314" t="s">
        <v>740</v>
      </c>
      <c r="F44" s="392" t="s">
        <v>395</v>
      </c>
      <c r="G44" s="392" t="s">
        <v>700</v>
      </c>
      <c r="H44" s="392" t="s">
        <v>396</v>
      </c>
      <c r="I44" s="392" t="s">
        <v>701</v>
      </c>
      <c r="J44" s="392" t="s">
        <v>24</v>
      </c>
      <c r="K44" s="392" t="s">
        <v>26</v>
      </c>
      <c r="L44" s="410" t="s">
        <v>25</v>
      </c>
      <c r="M44" s="395"/>
    </row>
    <row r="45" spans="1:13" s="44" customFormat="1" ht="30" x14ac:dyDescent="0.25">
      <c r="A45" s="24"/>
      <c r="B45" s="1236"/>
      <c r="C45" s="1238"/>
      <c r="D45" s="1256"/>
      <c r="E45" s="380" t="s">
        <v>741</v>
      </c>
      <c r="F45" s="29" t="s">
        <v>395</v>
      </c>
      <c r="G45" s="29" t="s">
        <v>700</v>
      </c>
      <c r="H45" s="29" t="s">
        <v>396</v>
      </c>
      <c r="I45" s="29" t="s">
        <v>701</v>
      </c>
      <c r="J45" s="29" t="s">
        <v>24</v>
      </c>
      <c r="K45" s="29" t="s">
        <v>26</v>
      </c>
      <c r="L45" s="384" t="s">
        <v>25</v>
      </c>
      <c r="M45" s="385"/>
    </row>
    <row r="46" spans="1:13" s="44" customFormat="1" ht="30" x14ac:dyDescent="0.25">
      <c r="A46" s="24"/>
      <c r="B46" s="1236"/>
      <c r="C46" s="1238"/>
      <c r="D46" s="1257" t="s">
        <v>589</v>
      </c>
      <c r="E46" s="378" t="s">
        <v>742</v>
      </c>
      <c r="F46" s="29" t="s">
        <v>590</v>
      </c>
      <c r="G46" s="29" t="s">
        <v>702</v>
      </c>
      <c r="H46" s="29"/>
      <c r="I46" s="29" t="s">
        <v>24</v>
      </c>
      <c r="J46" s="29" t="s">
        <v>26</v>
      </c>
      <c r="K46" s="384" t="s">
        <v>25</v>
      </c>
      <c r="L46" s="384" t="s">
        <v>698</v>
      </c>
      <c r="M46" s="385"/>
    </row>
    <row r="47" spans="1:13" ht="30.75" thickBot="1" x14ac:dyDescent="0.3">
      <c r="B47" s="1237"/>
      <c r="C47" s="1240"/>
      <c r="D47" s="1259"/>
      <c r="E47" s="411" t="s">
        <v>743</v>
      </c>
      <c r="F47" s="412" t="s">
        <v>590</v>
      </c>
      <c r="G47" s="412" t="s">
        <v>702</v>
      </c>
      <c r="H47" s="412"/>
      <c r="I47" s="412" t="s">
        <v>24</v>
      </c>
      <c r="J47" s="412" t="s">
        <v>26</v>
      </c>
      <c r="K47" s="413" t="s">
        <v>25</v>
      </c>
      <c r="L47" s="413" t="s">
        <v>698</v>
      </c>
      <c r="M47" s="414"/>
    </row>
    <row r="48" spans="1:13" s="44" customFormat="1" ht="42" customHeight="1" x14ac:dyDescent="0.25">
      <c r="A48" s="24"/>
      <c r="B48" s="1235" t="s">
        <v>57</v>
      </c>
      <c r="C48" s="1242" t="s">
        <v>13</v>
      </c>
      <c r="D48" s="1248" t="s">
        <v>1106</v>
      </c>
      <c r="E48" s="381" t="s">
        <v>62</v>
      </c>
      <c r="F48" s="381" t="s">
        <v>24</v>
      </c>
      <c r="G48" s="381" t="s">
        <v>25</v>
      </c>
      <c r="H48" s="381"/>
      <c r="I48" s="381"/>
      <c r="J48" s="381"/>
      <c r="K48" s="381"/>
      <c r="L48" s="382"/>
      <c r="M48" s="383"/>
    </row>
    <row r="49" spans="1:13" s="44" customFormat="1" ht="30" x14ac:dyDescent="0.25">
      <c r="A49" s="24"/>
      <c r="B49" s="1236"/>
      <c r="C49" s="1238"/>
      <c r="D49" s="1247"/>
      <c r="E49" s="29" t="s">
        <v>17</v>
      </c>
      <c r="F49" s="29" t="s">
        <v>703</v>
      </c>
      <c r="G49" s="29" t="s">
        <v>24</v>
      </c>
      <c r="H49" s="29" t="s">
        <v>26</v>
      </c>
      <c r="I49" s="29" t="s">
        <v>698</v>
      </c>
      <c r="J49" s="29"/>
      <c r="K49" s="29"/>
      <c r="L49" s="384"/>
      <c r="M49" s="385"/>
    </row>
    <row r="50" spans="1:13" s="44" customFormat="1" ht="30" x14ac:dyDescent="0.25">
      <c r="A50" s="24"/>
      <c r="B50" s="1236"/>
      <c r="C50" s="1238"/>
      <c r="D50" s="1247"/>
      <c r="E50" s="29" t="s">
        <v>63</v>
      </c>
      <c r="F50" s="29" t="s">
        <v>704</v>
      </c>
      <c r="G50" s="29" t="s">
        <v>708</v>
      </c>
      <c r="H50" s="29" t="s">
        <v>707</v>
      </c>
      <c r="I50" s="29" t="s">
        <v>24</v>
      </c>
      <c r="J50" s="29" t="s">
        <v>26</v>
      </c>
      <c r="K50" s="29" t="s">
        <v>698</v>
      </c>
      <c r="L50" s="384"/>
      <c r="M50" s="385"/>
    </row>
    <row r="51" spans="1:13" s="44" customFormat="1" ht="30" x14ac:dyDescent="0.25">
      <c r="A51" s="24"/>
      <c r="B51" s="1236"/>
      <c r="C51" s="1238"/>
      <c r="D51" s="1247"/>
      <c r="E51" s="29" t="s">
        <v>342</v>
      </c>
      <c r="F51" s="29" t="s">
        <v>705</v>
      </c>
      <c r="G51" s="29" t="s">
        <v>24</v>
      </c>
      <c r="H51" s="29" t="s">
        <v>698</v>
      </c>
      <c r="I51" s="29"/>
      <c r="J51" s="29"/>
      <c r="K51" s="29"/>
      <c r="L51" s="384"/>
      <c r="M51" s="385"/>
    </row>
    <row r="52" spans="1:13" s="44" customFormat="1" ht="30" x14ac:dyDescent="0.25">
      <c r="A52" s="24"/>
      <c r="B52" s="1236"/>
      <c r="C52" s="1238"/>
      <c r="D52" s="1247"/>
      <c r="E52" s="29" t="s">
        <v>19</v>
      </c>
      <c r="F52" s="29" t="s">
        <v>706</v>
      </c>
      <c r="G52" s="29" t="s">
        <v>24</v>
      </c>
      <c r="H52" s="29" t="s">
        <v>26</v>
      </c>
      <c r="I52" s="29"/>
      <c r="J52" s="358"/>
      <c r="K52" s="358"/>
      <c r="L52" s="386"/>
      <c r="M52" s="385"/>
    </row>
    <row r="53" spans="1:13" s="44" customFormat="1" ht="30" x14ac:dyDescent="0.25">
      <c r="A53" s="24"/>
      <c r="B53" s="1236"/>
      <c r="C53" s="1238"/>
      <c r="D53" s="1247"/>
      <c r="E53" s="29" t="s">
        <v>18</v>
      </c>
      <c r="F53" s="415" t="s">
        <v>696</v>
      </c>
      <c r="G53" s="29" t="s">
        <v>24</v>
      </c>
      <c r="H53" s="29" t="s">
        <v>26</v>
      </c>
      <c r="I53" s="29" t="s">
        <v>698</v>
      </c>
      <c r="J53" s="358"/>
      <c r="K53" s="358"/>
      <c r="L53" s="386"/>
      <c r="M53" s="385"/>
    </row>
    <row r="54" spans="1:13" s="44" customFormat="1" ht="30" x14ac:dyDescent="0.25">
      <c r="A54" s="24"/>
      <c r="B54" s="1236"/>
      <c r="C54" s="1238"/>
      <c r="D54" s="1247"/>
      <c r="E54" s="29" t="s">
        <v>343</v>
      </c>
      <c r="F54" s="29" t="s">
        <v>24</v>
      </c>
      <c r="G54" s="29"/>
      <c r="H54" s="29"/>
      <c r="I54" s="29"/>
      <c r="J54" s="358"/>
      <c r="K54" s="358"/>
      <c r="L54" s="386"/>
      <c r="M54" s="385"/>
    </row>
    <row r="55" spans="1:13" s="44" customFormat="1" ht="30" x14ac:dyDescent="0.25">
      <c r="A55" s="24"/>
      <c r="B55" s="1236"/>
      <c r="C55" s="1238"/>
      <c r="D55" s="1247"/>
      <c r="E55" s="399" t="s">
        <v>591</v>
      </c>
      <c r="F55" s="399" t="s">
        <v>697</v>
      </c>
      <c r="G55" s="29" t="s">
        <v>24</v>
      </c>
      <c r="H55" s="29" t="s">
        <v>26</v>
      </c>
      <c r="I55" s="399" t="s">
        <v>698</v>
      </c>
      <c r="J55" s="416"/>
      <c r="K55" s="416"/>
      <c r="L55" s="417"/>
      <c r="M55" s="401"/>
    </row>
    <row r="56" spans="1:13" s="44" customFormat="1" ht="30.75" thickBot="1" x14ac:dyDescent="0.3">
      <c r="A56" s="24"/>
      <c r="B56" s="1236"/>
      <c r="C56" s="1239"/>
      <c r="D56" s="1254"/>
      <c r="E56" s="387" t="s">
        <v>739</v>
      </c>
      <c r="F56" s="387" t="s">
        <v>131</v>
      </c>
      <c r="G56" s="387" t="s">
        <v>698</v>
      </c>
      <c r="H56" s="387" t="s">
        <v>24</v>
      </c>
      <c r="I56" s="388"/>
      <c r="J56" s="388"/>
      <c r="K56" s="388"/>
      <c r="L56" s="389"/>
      <c r="M56" s="390"/>
    </row>
    <row r="57" spans="1:13" ht="30.75" customHeight="1" thickTop="1" x14ac:dyDescent="0.25">
      <c r="B57" s="1236"/>
      <c r="C57" s="1241" t="s">
        <v>1107</v>
      </c>
      <c r="D57" s="1104" t="s">
        <v>38</v>
      </c>
      <c r="E57" s="392" t="s">
        <v>738</v>
      </c>
      <c r="F57" s="392" t="s">
        <v>24</v>
      </c>
      <c r="G57" s="392" t="s">
        <v>698</v>
      </c>
      <c r="H57" s="392"/>
      <c r="I57" s="392"/>
      <c r="J57" s="392"/>
      <c r="K57" s="392"/>
      <c r="L57" s="410"/>
      <c r="M57" s="395"/>
    </row>
    <row r="58" spans="1:13" ht="30" x14ac:dyDescent="0.25">
      <c r="B58" s="1236"/>
      <c r="C58" s="1238"/>
      <c r="D58" s="1100" t="s">
        <v>629</v>
      </c>
      <c r="E58" s="304" t="s">
        <v>738</v>
      </c>
      <c r="F58" s="304" t="s">
        <v>24</v>
      </c>
      <c r="G58" s="304" t="s">
        <v>698</v>
      </c>
      <c r="H58" s="304"/>
      <c r="I58" s="304"/>
      <c r="J58" s="304"/>
      <c r="K58" s="304"/>
      <c r="L58" s="322"/>
      <c r="M58" s="34"/>
    </row>
    <row r="59" spans="1:13" ht="30.75" thickBot="1" x14ac:dyDescent="0.3">
      <c r="B59" s="1237"/>
      <c r="C59" s="1240"/>
      <c r="D59" s="1101" t="s">
        <v>12</v>
      </c>
      <c r="E59" s="412" t="s">
        <v>738</v>
      </c>
      <c r="F59" s="412" t="s">
        <v>24</v>
      </c>
      <c r="G59" s="412" t="s">
        <v>698</v>
      </c>
      <c r="H59" s="412"/>
      <c r="I59" s="412"/>
      <c r="J59" s="412"/>
      <c r="K59" s="412"/>
      <c r="L59" s="413"/>
      <c r="M59" s="414"/>
    </row>
    <row r="60" spans="1:13" ht="30" x14ac:dyDescent="0.25">
      <c r="B60" s="1235" t="s">
        <v>388</v>
      </c>
      <c r="C60" s="1242" t="s">
        <v>630</v>
      </c>
      <c r="D60" s="1248" t="s">
        <v>593</v>
      </c>
      <c r="E60" s="381" t="s">
        <v>632</v>
      </c>
      <c r="F60" s="381" t="s">
        <v>65</v>
      </c>
      <c r="G60" s="381" t="s">
        <v>25</v>
      </c>
      <c r="H60" s="381"/>
      <c r="I60" s="418"/>
      <c r="J60" s="418"/>
      <c r="K60" s="418"/>
      <c r="L60" s="419"/>
      <c r="M60" s="383"/>
    </row>
    <row r="61" spans="1:13" ht="30" x14ac:dyDescent="0.25">
      <c r="B61" s="1236"/>
      <c r="C61" s="1238"/>
      <c r="D61" s="1249"/>
      <c r="E61" s="29" t="s">
        <v>633</v>
      </c>
      <c r="F61" s="29" t="s">
        <v>65</v>
      </c>
      <c r="G61" s="29" t="s">
        <v>25</v>
      </c>
      <c r="H61" s="29"/>
      <c r="I61" s="358"/>
      <c r="J61" s="358"/>
      <c r="K61" s="358"/>
      <c r="L61" s="386"/>
      <c r="M61" s="385"/>
    </row>
    <row r="62" spans="1:13" ht="30" x14ac:dyDescent="0.25">
      <c r="B62" s="1236"/>
      <c r="C62" s="1238"/>
      <c r="D62" s="1246" t="s">
        <v>594</v>
      </c>
      <c r="E62" s="29" t="s">
        <v>634</v>
      </c>
      <c r="F62" s="29" t="s">
        <v>24</v>
      </c>
      <c r="G62" s="29" t="s">
        <v>25</v>
      </c>
      <c r="H62" s="29"/>
      <c r="I62" s="358"/>
      <c r="J62" s="358"/>
      <c r="K62" s="358"/>
      <c r="L62" s="386"/>
      <c r="M62" s="385"/>
    </row>
    <row r="63" spans="1:13" s="44" customFormat="1" ht="30" x14ac:dyDescent="0.25">
      <c r="A63" s="24"/>
      <c r="B63" s="1236"/>
      <c r="C63" s="1238"/>
      <c r="D63" s="1249"/>
      <c r="E63" s="29" t="s">
        <v>635</v>
      </c>
      <c r="F63" s="29" t="s">
        <v>24</v>
      </c>
      <c r="G63" s="29" t="s">
        <v>25</v>
      </c>
      <c r="H63" s="29"/>
      <c r="I63" s="358"/>
      <c r="J63" s="358"/>
      <c r="K63" s="358"/>
      <c r="L63" s="386"/>
      <c r="M63" s="385"/>
    </row>
    <row r="64" spans="1:13" ht="30" x14ac:dyDescent="0.25">
      <c r="B64" s="1236"/>
      <c r="C64" s="1238"/>
      <c r="D64" s="1246" t="s">
        <v>595</v>
      </c>
      <c r="E64" s="29" t="s">
        <v>636</v>
      </c>
      <c r="F64" s="29" t="s">
        <v>24</v>
      </c>
      <c r="G64" s="29" t="s">
        <v>25</v>
      </c>
      <c r="H64" s="29"/>
      <c r="I64" s="358"/>
      <c r="J64" s="358"/>
      <c r="K64" s="358"/>
      <c r="L64" s="386"/>
      <c r="M64" s="385"/>
    </row>
    <row r="65" spans="1:13" ht="30" x14ac:dyDescent="0.25">
      <c r="B65" s="1236"/>
      <c r="C65" s="1238"/>
      <c r="D65" s="1247"/>
      <c r="E65" s="29" t="s">
        <v>637</v>
      </c>
      <c r="F65" s="29" t="s">
        <v>24</v>
      </c>
      <c r="G65" s="29" t="s">
        <v>25</v>
      </c>
      <c r="H65" s="29"/>
      <c r="I65" s="358"/>
      <c r="J65" s="358"/>
      <c r="K65" s="358"/>
      <c r="L65" s="386"/>
      <c r="M65" s="385"/>
    </row>
    <row r="66" spans="1:13" s="44" customFormat="1" ht="30" x14ac:dyDescent="0.25">
      <c r="A66" s="24"/>
      <c r="B66" s="1236"/>
      <c r="C66" s="1238"/>
      <c r="D66" s="1247"/>
      <c r="E66" s="29" t="s">
        <v>638</v>
      </c>
      <c r="F66" s="29" t="s">
        <v>24</v>
      </c>
      <c r="G66" s="29" t="s">
        <v>25</v>
      </c>
      <c r="H66" s="29"/>
      <c r="I66" s="358"/>
      <c r="J66" s="358"/>
      <c r="K66" s="358"/>
      <c r="L66" s="386"/>
      <c r="M66" s="385"/>
    </row>
    <row r="67" spans="1:13" s="44" customFormat="1" ht="30" x14ac:dyDescent="0.25">
      <c r="A67" s="24"/>
      <c r="B67" s="1236"/>
      <c r="C67" s="1238"/>
      <c r="D67" s="1247"/>
      <c r="E67" s="29" t="s">
        <v>639</v>
      </c>
      <c r="F67" s="29" t="s">
        <v>24</v>
      </c>
      <c r="G67" s="29" t="s">
        <v>25</v>
      </c>
      <c r="H67" s="29"/>
      <c r="I67" s="358"/>
      <c r="J67" s="358"/>
      <c r="K67" s="358"/>
      <c r="L67" s="386"/>
      <c r="M67" s="385"/>
    </row>
    <row r="68" spans="1:13" s="44" customFormat="1" ht="30" x14ac:dyDescent="0.25">
      <c r="A68" s="24"/>
      <c r="B68" s="1236"/>
      <c r="C68" s="1238"/>
      <c r="D68" s="1247"/>
      <c r="E68" s="29" t="s">
        <v>640</v>
      </c>
      <c r="F68" s="29" t="s">
        <v>24</v>
      </c>
      <c r="G68" s="29" t="s">
        <v>25</v>
      </c>
      <c r="H68" s="29"/>
      <c r="I68" s="358"/>
      <c r="J68" s="358"/>
      <c r="K68" s="358"/>
      <c r="L68" s="386"/>
      <c r="M68" s="385"/>
    </row>
    <row r="69" spans="1:13" ht="30" x14ac:dyDescent="0.25">
      <c r="B69" s="1236"/>
      <c r="C69" s="1238"/>
      <c r="D69" s="1249"/>
      <c r="E69" s="29" t="s">
        <v>641</v>
      </c>
      <c r="F69" s="29" t="s">
        <v>24</v>
      </c>
      <c r="G69" s="29" t="s">
        <v>25</v>
      </c>
      <c r="H69" s="29"/>
      <c r="I69" s="358"/>
      <c r="J69" s="358"/>
      <c r="K69" s="358"/>
      <c r="L69" s="386"/>
      <c r="M69" s="385"/>
    </row>
    <row r="70" spans="1:13" s="44" customFormat="1" ht="30" x14ac:dyDescent="0.25">
      <c r="A70" s="24"/>
      <c r="B70" s="1236"/>
      <c r="C70" s="1238"/>
      <c r="D70" s="1246" t="s">
        <v>596</v>
      </c>
      <c r="E70" s="29" t="s">
        <v>642</v>
      </c>
      <c r="F70" s="29" t="s">
        <v>24</v>
      </c>
      <c r="G70" s="29" t="s">
        <v>25</v>
      </c>
      <c r="H70" s="29"/>
      <c r="I70" s="358"/>
      <c r="J70" s="358"/>
      <c r="K70" s="358"/>
      <c r="L70" s="386"/>
      <c r="M70" s="385"/>
    </row>
    <row r="71" spans="1:13" s="44" customFormat="1" ht="30" x14ac:dyDescent="0.25">
      <c r="A71" s="24"/>
      <c r="B71" s="1236"/>
      <c r="C71" s="1238"/>
      <c r="D71" s="1247"/>
      <c r="E71" s="29" t="s">
        <v>643</v>
      </c>
      <c r="F71" s="29" t="s">
        <v>24</v>
      </c>
      <c r="G71" s="29" t="s">
        <v>25</v>
      </c>
      <c r="H71" s="29"/>
      <c r="I71" s="358"/>
      <c r="J71" s="358"/>
      <c r="K71" s="358"/>
      <c r="L71" s="386"/>
      <c r="M71" s="385"/>
    </row>
    <row r="72" spans="1:13" s="44" customFormat="1" ht="30" x14ac:dyDescent="0.25">
      <c r="A72" s="24"/>
      <c r="B72" s="1236"/>
      <c r="C72" s="1238"/>
      <c r="D72" s="1247"/>
      <c r="E72" s="29" t="s">
        <v>644</v>
      </c>
      <c r="F72" s="29" t="s">
        <v>24</v>
      </c>
      <c r="G72" s="29" t="s">
        <v>25</v>
      </c>
      <c r="H72" s="29"/>
      <c r="I72" s="358"/>
      <c r="J72" s="358"/>
      <c r="K72" s="358"/>
      <c r="L72" s="386"/>
      <c r="M72" s="385"/>
    </row>
    <row r="73" spans="1:13" s="44" customFormat="1" ht="30" x14ac:dyDescent="0.25">
      <c r="A73" s="24"/>
      <c r="B73" s="1236"/>
      <c r="C73" s="1238"/>
      <c r="D73" s="1247"/>
      <c r="E73" s="29" t="s">
        <v>645</v>
      </c>
      <c r="F73" s="29" t="s">
        <v>24</v>
      </c>
      <c r="G73" s="29" t="s">
        <v>25</v>
      </c>
      <c r="H73" s="29"/>
      <c r="I73" s="358"/>
      <c r="J73" s="358"/>
      <c r="K73" s="358"/>
      <c r="L73" s="386"/>
      <c r="M73" s="385"/>
    </row>
    <row r="74" spans="1:13" s="44" customFormat="1" ht="30" x14ac:dyDescent="0.25">
      <c r="A74" s="24"/>
      <c r="B74" s="1236"/>
      <c r="C74" s="1238"/>
      <c r="D74" s="1247"/>
      <c r="E74" s="29" t="s">
        <v>646</v>
      </c>
      <c r="F74" s="29" t="s">
        <v>24</v>
      </c>
      <c r="G74" s="29" t="s">
        <v>25</v>
      </c>
      <c r="H74" s="29"/>
      <c r="I74" s="358"/>
      <c r="J74" s="358"/>
      <c r="K74" s="358"/>
      <c r="L74" s="386"/>
      <c r="M74" s="385"/>
    </row>
    <row r="75" spans="1:13" ht="30.75" thickBot="1" x14ac:dyDescent="0.3">
      <c r="B75" s="1236"/>
      <c r="C75" s="1239"/>
      <c r="D75" s="1249"/>
      <c r="E75" s="29" t="s">
        <v>647</v>
      </c>
      <c r="F75" s="29" t="s">
        <v>24</v>
      </c>
      <c r="G75" s="29" t="s">
        <v>25</v>
      </c>
      <c r="H75" s="29"/>
      <c r="I75" s="358"/>
      <c r="J75" s="358"/>
      <c r="K75" s="358"/>
      <c r="L75" s="386"/>
      <c r="M75" s="385"/>
    </row>
    <row r="76" spans="1:13" ht="30.75" thickTop="1" x14ac:dyDescent="0.25">
      <c r="B76" s="1236"/>
      <c r="C76" s="1241" t="s">
        <v>631</v>
      </c>
      <c r="D76" s="314"/>
      <c r="E76" s="392" t="s">
        <v>648</v>
      </c>
      <c r="F76" s="392" t="s">
        <v>65</v>
      </c>
      <c r="G76" s="392" t="s">
        <v>25</v>
      </c>
      <c r="H76" s="392"/>
      <c r="I76" s="393"/>
      <c r="J76" s="393"/>
      <c r="K76" s="393"/>
      <c r="L76" s="394"/>
      <c r="M76" s="395"/>
    </row>
    <row r="77" spans="1:13" s="44" customFormat="1" ht="30" x14ac:dyDescent="0.25">
      <c r="A77" s="24"/>
      <c r="B77" s="1236"/>
      <c r="C77" s="1238"/>
      <c r="D77" s="305"/>
      <c r="E77" s="29" t="s">
        <v>649</v>
      </c>
      <c r="F77" s="29" t="s">
        <v>65</v>
      </c>
      <c r="G77" s="29" t="s">
        <v>25</v>
      </c>
      <c r="H77" s="29"/>
      <c r="I77" s="358"/>
      <c r="J77" s="358"/>
      <c r="K77" s="358"/>
      <c r="L77" s="386"/>
      <c r="M77" s="385"/>
    </row>
    <row r="78" spans="1:13" s="44" customFormat="1" ht="30" x14ac:dyDescent="0.25">
      <c r="A78" s="24"/>
      <c r="B78" s="1236"/>
      <c r="C78" s="1238"/>
      <c r="D78" s="305"/>
      <c r="E78" s="29" t="s">
        <v>650</v>
      </c>
      <c r="F78" s="29" t="s">
        <v>65</v>
      </c>
      <c r="G78" s="29" t="s">
        <v>25</v>
      </c>
      <c r="H78" s="29"/>
      <c r="I78" s="420"/>
      <c r="J78" s="420"/>
      <c r="K78" s="420"/>
      <c r="L78" s="421"/>
      <c r="M78" s="422"/>
    </row>
    <row r="79" spans="1:13" ht="30.75" thickBot="1" x14ac:dyDescent="0.3">
      <c r="B79" s="1236"/>
      <c r="C79" s="1239"/>
      <c r="D79" s="50"/>
      <c r="E79" s="396" t="s">
        <v>651</v>
      </c>
      <c r="F79" s="396" t="s">
        <v>65</v>
      </c>
      <c r="G79" s="396" t="s">
        <v>25</v>
      </c>
      <c r="H79" s="396"/>
      <c r="I79" s="387"/>
      <c r="J79" s="387"/>
      <c r="K79" s="387"/>
      <c r="L79" s="408"/>
      <c r="M79" s="390"/>
    </row>
    <row r="80" spans="1:13" ht="30.75" thickTop="1" x14ac:dyDescent="0.25">
      <c r="B80" s="1236"/>
      <c r="C80" s="1260" t="s">
        <v>389</v>
      </c>
      <c r="D80" s="312"/>
      <c r="E80" s="304" t="s">
        <v>652</v>
      </c>
      <c r="F80" s="304" t="s">
        <v>386</v>
      </c>
      <c r="G80" s="304" t="s">
        <v>42</v>
      </c>
      <c r="H80" s="304" t="s">
        <v>24</v>
      </c>
      <c r="I80" s="304" t="s">
        <v>26</v>
      </c>
      <c r="J80" s="304" t="s">
        <v>25</v>
      </c>
      <c r="K80" s="304" t="s">
        <v>698</v>
      </c>
      <c r="L80" s="322"/>
      <c r="M80" s="34"/>
    </row>
    <row r="81" spans="1:13" s="44" customFormat="1" ht="30" x14ac:dyDescent="0.25">
      <c r="A81" s="24"/>
      <c r="B81" s="1236"/>
      <c r="C81" s="1261"/>
      <c r="D81" s="31"/>
      <c r="E81" s="29" t="s">
        <v>653</v>
      </c>
      <c r="F81" s="29" t="s">
        <v>386</v>
      </c>
      <c r="G81" s="29" t="s">
        <v>42</v>
      </c>
      <c r="H81" s="29" t="s">
        <v>24</v>
      </c>
      <c r="I81" s="29" t="s">
        <v>26</v>
      </c>
      <c r="J81" s="29" t="s">
        <v>25</v>
      </c>
      <c r="K81" s="29" t="s">
        <v>698</v>
      </c>
      <c r="L81" s="384"/>
      <c r="M81" s="385"/>
    </row>
    <row r="82" spans="1:13" s="44" customFormat="1" ht="30.75" thickBot="1" x14ac:dyDescent="0.3">
      <c r="A82" s="24"/>
      <c r="B82" s="1237"/>
      <c r="C82" s="1262"/>
      <c r="D82" s="313"/>
      <c r="E82" s="402" t="s">
        <v>654</v>
      </c>
      <c r="F82" s="402" t="s">
        <v>386</v>
      </c>
      <c r="G82" s="402" t="s">
        <v>42</v>
      </c>
      <c r="H82" s="402" t="s">
        <v>24</v>
      </c>
      <c r="I82" s="402" t="s">
        <v>26</v>
      </c>
      <c r="J82" s="402" t="s">
        <v>25</v>
      </c>
      <c r="K82" s="402" t="s">
        <v>698</v>
      </c>
      <c r="L82" s="423"/>
      <c r="M82" s="404"/>
    </row>
    <row r="83" spans="1:13" ht="30" x14ac:dyDescent="0.25">
      <c r="B83" s="1235" t="s">
        <v>69</v>
      </c>
      <c r="C83" s="1238" t="s">
        <v>38</v>
      </c>
      <c r="D83" s="1247" t="s">
        <v>2</v>
      </c>
      <c r="E83" s="304" t="s">
        <v>344</v>
      </c>
      <c r="F83" s="304" t="s">
        <v>71</v>
      </c>
      <c r="G83" s="304" t="s">
        <v>73</v>
      </c>
      <c r="H83" s="304" t="s">
        <v>24</v>
      </c>
      <c r="I83" s="304" t="s">
        <v>26</v>
      </c>
      <c r="J83" s="304" t="s">
        <v>25</v>
      </c>
      <c r="K83" s="304" t="s">
        <v>698</v>
      </c>
      <c r="L83" s="322"/>
      <c r="M83" s="34"/>
    </row>
    <row r="84" spans="1:13" s="44" customFormat="1" ht="30" x14ac:dyDescent="0.25">
      <c r="A84" s="24"/>
      <c r="B84" s="1236"/>
      <c r="C84" s="1238"/>
      <c r="D84" s="1247"/>
      <c r="E84" s="29" t="s">
        <v>345</v>
      </c>
      <c r="F84" s="29" t="s">
        <v>71</v>
      </c>
      <c r="G84" s="29" t="s">
        <v>73</v>
      </c>
      <c r="H84" s="29" t="s">
        <v>24</v>
      </c>
      <c r="I84" s="29" t="s">
        <v>26</v>
      </c>
      <c r="J84" s="29" t="s">
        <v>25</v>
      </c>
      <c r="K84" s="29" t="s">
        <v>698</v>
      </c>
      <c r="L84" s="384"/>
      <c r="M84" s="385"/>
    </row>
    <row r="85" spans="1:13" ht="30" x14ac:dyDescent="0.25">
      <c r="B85" s="1236"/>
      <c r="C85" s="1238"/>
      <c r="D85" s="1249"/>
      <c r="E85" s="29" t="s">
        <v>597</v>
      </c>
      <c r="F85" s="29" t="s">
        <v>71</v>
      </c>
      <c r="G85" s="29" t="s">
        <v>73</v>
      </c>
      <c r="H85" s="29" t="s">
        <v>24</v>
      </c>
      <c r="I85" s="29" t="s">
        <v>26</v>
      </c>
      <c r="J85" s="29" t="s">
        <v>25</v>
      </c>
      <c r="K85" s="29" t="s">
        <v>698</v>
      </c>
      <c r="L85" s="384"/>
      <c r="M85" s="385"/>
    </row>
    <row r="86" spans="1:13" ht="30" x14ac:dyDescent="0.25">
      <c r="B86" s="1236"/>
      <c r="C86" s="1238"/>
      <c r="D86" s="1246" t="s">
        <v>3</v>
      </c>
      <c r="E86" s="29" t="s">
        <v>354</v>
      </c>
      <c r="F86" s="29" t="s">
        <v>72</v>
      </c>
      <c r="G86" s="29" t="s">
        <v>73</v>
      </c>
      <c r="H86" s="29" t="s">
        <v>24</v>
      </c>
      <c r="I86" s="29" t="s">
        <v>26</v>
      </c>
      <c r="J86" s="29" t="s">
        <v>25</v>
      </c>
      <c r="K86" s="29" t="s">
        <v>698</v>
      </c>
      <c r="L86" s="384"/>
      <c r="M86" s="385"/>
    </row>
    <row r="87" spans="1:13" ht="30" x14ac:dyDescent="0.25">
      <c r="B87" s="1236"/>
      <c r="C87" s="1238"/>
      <c r="D87" s="1247"/>
      <c r="E87" s="29" t="s">
        <v>351</v>
      </c>
      <c r="F87" s="29" t="s">
        <v>72</v>
      </c>
      <c r="G87" s="29" t="s">
        <v>73</v>
      </c>
      <c r="H87" s="29" t="s">
        <v>24</v>
      </c>
      <c r="I87" s="29" t="s">
        <v>26</v>
      </c>
      <c r="J87" s="29" t="s">
        <v>25</v>
      </c>
      <c r="K87" s="29" t="s">
        <v>698</v>
      </c>
      <c r="L87" s="384"/>
      <c r="M87" s="385"/>
    </row>
    <row r="88" spans="1:13" ht="30" x14ac:dyDescent="0.25">
      <c r="B88" s="1236"/>
      <c r="C88" s="1238"/>
      <c r="D88" s="1247"/>
      <c r="E88" s="380" t="s">
        <v>355</v>
      </c>
      <c r="F88" s="29" t="s">
        <v>72</v>
      </c>
      <c r="G88" s="29" t="s">
        <v>719</v>
      </c>
      <c r="H88" s="29" t="s">
        <v>73</v>
      </c>
      <c r="I88" s="29" t="s">
        <v>24</v>
      </c>
      <c r="J88" s="29" t="s">
        <v>26</v>
      </c>
      <c r="K88" s="29" t="s">
        <v>25</v>
      </c>
      <c r="L88" s="384" t="s">
        <v>698</v>
      </c>
      <c r="M88" s="385"/>
    </row>
    <row r="89" spans="1:13" ht="30" x14ac:dyDescent="0.25">
      <c r="B89" s="1236"/>
      <c r="C89" s="1238"/>
      <c r="D89" s="1247"/>
      <c r="E89" s="29" t="s">
        <v>353</v>
      </c>
      <c r="F89" s="29" t="s">
        <v>72</v>
      </c>
      <c r="G89" s="29" t="s">
        <v>719</v>
      </c>
      <c r="H89" s="29" t="s">
        <v>73</v>
      </c>
      <c r="I89" s="29" t="s">
        <v>24</v>
      </c>
      <c r="J89" s="29" t="s">
        <v>26</v>
      </c>
      <c r="K89" s="29" t="s">
        <v>25</v>
      </c>
      <c r="L89" s="384" t="s">
        <v>698</v>
      </c>
      <c r="M89" s="385"/>
    </row>
    <row r="90" spans="1:13" ht="30" x14ac:dyDescent="0.25">
      <c r="B90" s="1236"/>
      <c r="C90" s="1238"/>
      <c r="D90" s="1249"/>
      <c r="E90" s="29" t="s">
        <v>352</v>
      </c>
      <c r="F90" s="29" t="s">
        <v>72</v>
      </c>
      <c r="G90" s="29" t="s">
        <v>719</v>
      </c>
      <c r="H90" s="29" t="s">
        <v>73</v>
      </c>
      <c r="I90" s="29" t="s">
        <v>24</v>
      </c>
      <c r="J90" s="29" t="s">
        <v>26</v>
      </c>
      <c r="K90" s="29" t="s">
        <v>25</v>
      </c>
      <c r="L90" s="384" t="s">
        <v>698</v>
      </c>
      <c r="M90" s="385"/>
    </row>
    <row r="91" spans="1:13" ht="30" x14ac:dyDescent="0.25">
      <c r="B91" s="1236"/>
      <c r="C91" s="1238"/>
      <c r="D91" s="1246" t="s">
        <v>30</v>
      </c>
      <c r="E91" s="29" t="s">
        <v>357</v>
      </c>
      <c r="F91" s="29" t="s">
        <v>89</v>
      </c>
      <c r="G91" s="29" t="s">
        <v>717</v>
      </c>
      <c r="H91" s="29" t="s">
        <v>73</v>
      </c>
      <c r="I91" s="29" t="s">
        <v>24</v>
      </c>
      <c r="J91" s="29" t="s">
        <v>26</v>
      </c>
      <c r="K91" s="29" t="s">
        <v>25</v>
      </c>
      <c r="L91" s="384" t="s">
        <v>698</v>
      </c>
      <c r="M91" s="385"/>
    </row>
    <row r="92" spans="1:13" ht="29.45" customHeight="1" x14ac:dyDescent="0.25">
      <c r="B92" s="1236"/>
      <c r="C92" s="1238"/>
      <c r="D92" s="1247"/>
      <c r="E92" s="29" t="s">
        <v>356</v>
      </c>
      <c r="F92" s="29" t="s">
        <v>89</v>
      </c>
      <c r="G92" s="29" t="s">
        <v>717</v>
      </c>
      <c r="H92" s="29" t="s">
        <v>73</v>
      </c>
      <c r="I92" s="29" t="s">
        <v>24</v>
      </c>
      <c r="J92" s="29" t="s">
        <v>26</v>
      </c>
      <c r="K92" s="29" t="s">
        <v>25</v>
      </c>
      <c r="L92" s="384" t="s">
        <v>698</v>
      </c>
      <c r="M92" s="385"/>
    </row>
    <row r="93" spans="1:13" ht="30" x14ac:dyDescent="0.25">
      <c r="B93" s="1236"/>
      <c r="C93" s="1238"/>
      <c r="D93" s="1247"/>
      <c r="E93" s="29" t="s">
        <v>358</v>
      </c>
      <c r="F93" s="29" t="s">
        <v>89</v>
      </c>
      <c r="G93" s="29" t="s">
        <v>717</v>
      </c>
      <c r="H93" s="29" t="s">
        <v>73</v>
      </c>
      <c r="I93" s="29" t="s">
        <v>24</v>
      </c>
      <c r="J93" s="29" t="s">
        <v>26</v>
      </c>
      <c r="K93" s="29" t="s">
        <v>25</v>
      </c>
      <c r="L93" s="384" t="s">
        <v>698</v>
      </c>
      <c r="M93" s="385"/>
    </row>
    <row r="94" spans="1:13" ht="30" x14ac:dyDescent="0.25">
      <c r="B94" s="1236"/>
      <c r="C94" s="1238"/>
      <c r="D94" s="1247"/>
      <c r="E94" s="29" t="s">
        <v>359</v>
      </c>
      <c r="F94" s="29" t="s">
        <v>89</v>
      </c>
      <c r="G94" s="29" t="s">
        <v>717</v>
      </c>
      <c r="H94" s="29" t="s">
        <v>73</v>
      </c>
      <c r="I94" s="29" t="s">
        <v>24</v>
      </c>
      <c r="J94" s="29" t="s">
        <v>26</v>
      </c>
      <c r="K94" s="29" t="s">
        <v>25</v>
      </c>
      <c r="L94" s="384" t="s">
        <v>698</v>
      </c>
      <c r="M94" s="385"/>
    </row>
    <row r="95" spans="1:13" ht="30" x14ac:dyDescent="0.25">
      <c r="B95" s="1236"/>
      <c r="C95" s="1238"/>
      <c r="D95" s="1247"/>
      <c r="E95" s="29" t="s">
        <v>598</v>
      </c>
      <c r="F95" s="29" t="s">
        <v>89</v>
      </c>
      <c r="G95" s="29" t="s">
        <v>717</v>
      </c>
      <c r="H95" s="29" t="s">
        <v>73</v>
      </c>
      <c r="I95" s="29" t="s">
        <v>24</v>
      </c>
      <c r="J95" s="29" t="s">
        <v>26</v>
      </c>
      <c r="K95" s="29" t="s">
        <v>25</v>
      </c>
      <c r="L95" s="384" t="s">
        <v>698</v>
      </c>
      <c r="M95" s="385"/>
    </row>
    <row r="96" spans="1:13" ht="30" x14ac:dyDescent="0.25">
      <c r="B96" s="1236"/>
      <c r="C96" s="1238"/>
      <c r="D96" s="1247"/>
      <c r="E96" s="29" t="s">
        <v>599</v>
      </c>
      <c r="F96" s="29" t="s">
        <v>89</v>
      </c>
      <c r="G96" s="29" t="s">
        <v>717</v>
      </c>
      <c r="H96" s="29" t="s">
        <v>73</v>
      </c>
      <c r="I96" s="29" t="s">
        <v>24</v>
      </c>
      <c r="J96" s="29" t="s">
        <v>26</v>
      </c>
      <c r="K96" s="29" t="s">
        <v>25</v>
      </c>
      <c r="L96" s="384" t="s">
        <v>698</v>
      </c>
      <c r="M96" s="385"/>
    </row>
    <row r="97" spans="1:14" s="44" customFormat="1" ht="30" x14ac:dyDescent="0.25">
      <c r="A97" s="24"/>
      <c r="B97" s="1236"/>
      <c r="C97" s="1238"/>
      <c r="D97" s="1247"/>
      <c r="E97" s="29" t="s">
        <v>600</v>
      </c>
      <c r="F97" s="29" t="s">
        <v>89</v>
      </c>
      <c r="G97" s="29" t="s">
        <v>717</v>
      </c>
      <c r="H97" s="29" t="s">
        <v>73</v>
      </c>
      <c r="I97" s="29" t="s">
        <v>24</v>
      </c>
      <c r="J97" s="29" t="s">
        <v>26</v>
      </c>
      <c r="K97" s="29" t="s">
        <v>25</v>
      </c>
      <c r="L97" s="384" t="s">
        <v>698</v>
      </c>
      <c r="M97" s="385"/>
    </row>
    <row r="98" spans="1:14" s="44" customFormat="1" ht="30" x14ac:dyDescent="0.25">
      <c r="A98" s="24"/>
      <c r="B98" s="1236"/>
      <c r="C98" s="1238"/>
      <c r="D98" s="1247"/>
      <c r="E98" s="29" t="s">
        <v>601</v>
      </c>
      <c r="F98" s="29" t="s">
        <v>89</v>
      </c>
      <c r="G98" s="29" t="s">
        <v>717</v>
      </c>
      <c r="H98" s="29" t="s">
        <v>73</v>
      </c>
      <c r="I98" s="29" t="s">
        <v>24</v>
      </c>
      <c r="J98" s="29" t="s">
        <v>26</v>
      </c>
      <c r="K98" s="29" t="s">
        <v>25</v>
      </c>
      <c r="L98" s="384" t="s">
        <v>698</v>
      </c>
      <c r="M98" s="385"/>
    </row>
    <row r="99" spans="1:14" s="44" customFormat="1" ht="30" x14ac:dyDescent="0.25">
      <c r="A99" s="24"/>
      <c r="B99" s="1236"/>
      <c r="C99" s="1238"/>
      <c r="D99" s="1247"/>
      <c r="E99" s="29" t="s">
        <v>602</v>
      </c>
      <c r="F99" s="29" t="s">
        <v>89</v>
      </c>
      <c r="G99" s="29" t="s">
        <v>717</v>
      </c>
      <c r="H99" s="29" t="s">
        <v>73</v>
      </c>
      <c r="I99" s="29" t="s">
        <v>24</v>
      </c>
      <c r="J99" s="29" t="s">
        <v>26</v>
      </c>
      <c r="K99" s="29" t="s">
        <v>25</v>
      </c>
      <c r="L99" s="384" t="s">
        <v>698</v>
      </c>
      <c r="M99" s="385"/>
    </row>
    <row r="100" spans="1:14" s="44" customFormat="1" ht="30" x14ac:dyDescent="0.25">
      <c r="A100" s="24"/>
      <c r="B100" s="1236"/>
      <c r="C100" s="1238"/>
      <c r="D100" s="1247"/>
      <c r="E100" s="29" t="s">
        <v>603</v>
      </c>
      <c r="F100" s="29" t="s">
        <v>89</v>
      </c>
      <c r="G100" s="29" t="s">
        <v>717</v>
      </c>
      <c r="H100" s="29" t="s">
        <v>73</v>
      </c>
      <c r="I100" s="29" t="s">
        <v>24</v>
      </c>
      <c r="J100" s="29" t="s">
        <v>26</v>
      </c>
      <c r="K100" s="29" t="s">
        <v>25</v>
      </c>
      <c r="L100" s="384" t="s">
        <v>698</v>
      </c>
      <c r="M100" s="385"/>
    </row>
    <row r="101" spans="1:14" s="44" customFormat="1" ht="30" x14ac:dyDescent="0.25">
      <c r="A101" s="24"/>
      <c r="B101" s="1236"/>
      <c r="C101" s="1238"/>
      <c r="D101" s="1247"/>
      <c r="E101" s="29" t="s">
        <v>604</v>
      </c>
      <c r="F101" s="29" t="s">
        <v>89</v>
      </c>
      <c r="G101" s="29" t="s">
        <v>717</v>
      </c>
      <c r="H101" s="29" t="s">
        <v>73</v>
      </c>
      <c r="I101" s="29" t="s">
        <v>24</v>
      </c>
      <c r="J101" s="29" t="s">
        <v>26</v>
      </c>
      <c r="K101" s="29" t="s">
        <v>25</v>
      </c>
      <c r="L101" s="384" t="s">
        <v>698</v>
      </c>
      <c r="M101" s="385"/>
    </row>
    <row r="102" spans="1:14" s="44" customFormat="1" ht="30" x14ac:dyDescent="0.25">
      <c r="A102" s="24"/>
      <c r="B102" s="1236"/>
      <c r="C102" s="1238"/>
      <c r="D102" s="1249"/>
      <c r="E102" s="29" t="s">
        <v>605</v>
      </c>
      <c r="F102" s="29" t="s">
        <v>89</v>
      </c>
      <c r="G102" s="29" t="s">
        <v>717</v>
      </c>
      <c r="H102" s="29" t="s">
        <v>73</v>
      </c>
      <c r="I102" s="29" t="s">
        <v>24</v>
      </c>
      <c r="J102" s="29" t="s">
        <v>26</v>
      </c>
      <c r="K102" s="29" t="s">
        <v>25</v>
      </c>
      <c r="L102" s="384" t="s">
        <v>698</v>
      </c>
      <c r="M102" s="385"/>
    </row>
    <row r="103" spans="1:14" ht="30" x14ac:dyDescent="0.25">
      <c r="B103" s="1236"/>
      <c r="C103" s="1238"/>
      <c r="D103" s="1246" t="s">
        <v>31</v>
      </c>
      <c r="E103" s="29" t="s">
        <v>363</v>
      </c>
      <c r="F103" s="29" t="s">
        <v>89</v>
      </c>
      <c r="G103" s="29" t="s">
        <v>717</v>
      </c>
      <c r="H103" s="29" t="s">
        <v>73</v>
      </c>
      <c r="I103" s="29" t="s">
        <v>24</v>
      </c>
      <c r="J103" s="29" t="s">
        <v>26</v>
      </c>
      <c r="K103" s="29" t="s">
        <v>25</v>
      </c>
      <c r="L103" s="384" t="s">
        <v>698</v>
      </c>
      <c r="M103" s="385"/>
    </row>
    <row r="104" spans="1:14" ht="30" x14ac:dyDescent="0.25">
      <c r="B104" s="1236"/>
      <c r="C104" s="1238"/>
      <c r="D104" s="1247"/>
      <c r="E104" s="29" t="s">
        <v>362</v>
      </c>
      <c r="F104" s="29" t="s">
        <v>89</v>
      </c>
      <c r="G104" s="29" t="s">
        <v>717</v>
      </c>
      <c r="H104" s="29" t="s">
        <v>73</v>
      </c>
      <c r="I104" s="29" t="s">
        <v>24</v>
      </c>
      <c r="J104" s="29" t="s">
        <v>26</v>
      </c>
      <c r="K104" s="29" t="s">
        <v>25</v>
      </c>
      <c r="L104" s="384" t="s">
        <v>698</v>
      </c>
      <c r="M104" s="385"/>
    </row>
    <row r="105" spans="1:14" ht="30" x14ac:dyDescent="0.25">
      <c r="B105" s="1236"/>
      <c r="C105" s="1238"/>
      <c r="D105" s="1247"/>
      <c r="E105" s="29" t="s">
        <v>360</v>
      </c>
      <c r="F105" s="29" t="s">
        <v>89</v>
      </c>
      <c r="G105" s="29" t="s">
        <v>717</v>
      </c>
      <c r="H105" s="29" t="s">
        <v>73</v>
      </c>
      <c r="I105" s="29" t="s">
        <v>24</v>
      </c>
      <c r="J105" s="29" t="s">
        <v>26</v>
      </c>
      <c r="K105" s="29" t="s">
        <v>25</v>
      </c>
      <c r="L105" s="384" t="s">
        <v>698</v>
      </c>
      <c r="M105" s="385"/>
    </row>
    <row r="106" spans="1:14" s="44" customFormat="1" ht="30" x14ac:dyDescent="0.25">
      <c r="A106" s="24"/>
      <c r="B106" s="1236"/>
      <c r="C106" s="1238"/>
      <c r="D106" s="1247"/>
      <c r="E106" s="29" t="s">
        <v>361</v>
      </c>
      <c r="F106" s="29" t="s">
        <v>89</v>
      </c>
      <c r="G106" s="29" t="s">
        <v>717</v>
      </c>
      <c r="H106" s="29" t="s">
        <v>73</v>
      </c>
      <c r="I106" s="29" t="s">
        <v>24</v>
      </c>
      <c r="J106" s="29" t="s">
        <v>26</v>
      </c>
      <c r="K106" s="29" t="s">
        <v>25</v>
      </c>
      <c r="L106" s="384" t="s">
        <v>698</v>
      </c>
      <c r="M106" s="385"/>
    </row>
    <row r="107" spans="1:14" s="44" customFormat="1" ht="30" x14ac:dyDescent="0.25">
      <c r="A107" s="24"/>
      <c r="B107" s="1236"/>
      <c r="C107" s="1238"/>
      <c r="D107" s="1247"/>
      <c r="E107" s="29" t="s">
        <v>606</v>
      </c>
      <c r="F107" s="29" t="s">
        <v>89</v>
      </c>
      <c r="G107" s="29" t="s">
        <v>717</v>
      </c>
      <c r="H107" s="29" t="s">
        <v>73</v>
      </c>
      <c r="I107" s="29" t="s">
        <v>24</v>
      </c>
      <c r="J107" s="29" t="s">
        <v>26</v>
      </c>
      <c r="K107" s="29" t="s">
        <v>25</v>
      </c>
      <c r="L107" s="384" t="s">
        <v>698</v>
      </c>
      <c r="M107" s="385"/>
    </row>
    <row r="108" spans="1:14" ht="30" x14ac:dyDescent="0.25">
      <c r="B108" s="1236"/>
      <c r="C108" s="1238"/>
      <c r="D108" s="1249"/>
      <c r="E108" s="29" t="s">
        <v>607</v>
      </c>
      <c r="F108" s="29" t="s">
        <v>89</v>
      </c>
      <c r="G108" s="29" t="s">
        <v>717</v>
      </c>
      <c r="H108" s="29" t="s">
        <v>73</v>
      </c>
      <c r="I108" s="29" t="s">
        <v>24</v>
      </c>
      <c r="J108" s="29" t="s">
        <v>26</v>
      </c>
      <c r="K108" s="29" t="s">
        <v>25</v>
      </c>
      <c r="L108" s="384" t="s">
        <v>698</v>
      </c>
      <c r="M108" s="385"/>
      <c r="N108" s="302"/>
    </row>
    <row r="109" spans="1:14" ht="30" x14ac:dyDescent="0.25">
      <c r="B109" s="1236"/>
      <c r="C109" s="1238"/>
      <c r="D109" s="1246" t="s">
        <v>5</v>
      </c>
      <c r="E109" s="380" t="s">
        <v>364</v>
      </c>
      <c r="F109" s="29" t="s">
        <v>74</v>
      </c>
      <c r="G109" s="29" t="s">
        <v>73</v>
      </c>
      <c r="H109" s="29" t="s">
        <v>24</v>
      </c>
      <c r="I109" s="29" t="s">
        <v>26</v>
      </c>
      <c r="J109" s="29" t="s">
        <v>25</v>
      </c>
      <c r="K109" s="29" t="s">
        <v>698</v>
      </c>
      <c r="L109" s="384"/>
      <c r="M109" s="385"/>
    </row>
    <row r="110" spans="1:14" ht="30" x14ac:dyDescent="0.25">
      <c r="B110" s="1236"/>
      <c r="C110" s="1238"/>
      <c r="D110" s="1247"/>
      <c r="E110" s="380" t="s">
        <v>365</v>
      </c>
      <c r="F110" s="29" t="s">
        <v>74</v>
      </c>
      <c r="G110" s="29" t="s">
        <v>73</v>
      </c>
      <c r="H110" s="29" t="s">
        <v>24</v>
      </c>
      <c r="I110" s="29" t="s">
        <v>26</v>
      </c>
      <c r="J110" s="29" t="s">
        <v>25</v>
      </c>
      <c r="K110" s="29" t="s">
        <v>698</v>
      </c>
      <c r="L110" s="384"/>
      <c r="M110" s="385"/>
    </row>
    <row r="111" spans="1:14" ht="30" x14ac:dyDescent="0.25">
      <c r="B111" s="1236"/>
      <c r="C111" s="1238"/>
      <c r="D111" s="1247"/>
      <c r="E111" s="380" t="s">
        <v>366</v>
      </c>
      <c r="F111" s="29" t="s">
        <v>74</v>
      </c>
      <c r="G111" s="29" t="s">
        <v>73</v>
      </c>
      <c r="H111" s="29" t="s">
        <v>24</v>
      </c>
      <c r="I111" s="29" t="s">
        <v>26</v>
      </c>
      <c r="J111" s="29" t="s">
        <v>25</v>
      </c>
      <c r="K111" s="29" t="s">
        <v>698</v>
      </c>
      <c r="L111" s="384"/>
      <c r="M111" s="385"/>
    </row>
    <row r="112" spans="1:14" ht="30" x14ac:dyDescent="0.25">
      <c r="B112" s="1236"/>
      <c r="C112" s="1238"/>
      <c r="D112" s="1247"/>
      <c r="E112" s="380" t="s">
        <v>367</v>
      </c>
      <c r="F112" s="29" t="s">
        <v>74</v>
      </c>
      <c r="G112" s="29" t="s">
        <v>73</v>
      </c>
      <c r="H112" s="29" t="s">
        <v>24</v>
      </c>
      <c r="I112" s="29" t="s">
        <v>26</v>
      </c>
      <c r="J112" s="29" t="s">
        <v>25</v>
      </c>
      <c r="K112" s="29" t="s">
        <v>698</v>
      </c>
      <c r="L112" s="384"/>
      <c r="M112" s="385"/>
    </row>
    <row r="113" spans="1:13" ht="30" x14ac:dyDescent="0.25">
      <c r="B113" s="1236"/>
      <c r="C113" s="1238"/>
      <c r="D113" s="1247"/>
      <c r="E113" s="380" t="s">
        <v>368</v>
      </c>
      <c r="F113" s="29" t="s">
        <v>74</v>
      </c>
      <c r="G113" s="29" t="s">
        <v>73</v>
      </c>
      <c r="H113" s="29" t="s">
        <v>24</v>
      </c>
      <c r="I113" s="29" t="s">
        <v>26</v>
      </c>
      <c r="J113" s="29" t="s">
        <v>25</v>
      </c>
      <c r="K113" s="29" t="s">
        <v>698</v>
      </c>
      <c r="L113" s="384"/>
      <c r="M113" s="385"/>
    </row>
    <row r="114" spans="1:13" s="44" customFormat="1" ht="30" x14ac:dyDescent="0.25">
      <c r="A114" s="24"/>
      <c r="B114" s="1236"/>
      <c r="C114" s="1238"/>
      <c r="D114" s="1247"/>
      <c r="E114" s="380" t="s">
        <v>611</v>
      </c>
      <c r="F114" s="29" t="s">
        <v>74</v>
      </c>
      <c r="G114" s="29" t="s">
        <v>73</v>
      </c>
      <c r="H114" s="29" t="s">
        <v>24</v>
      </c>
      <c r="I114" s="29" t="s">
        <v>26</v>
      </c>
      <c r="J114" s="29" t="s">
        <v>25</v>
      </c>
      <c r="K114" s="29" t="s">
        <v>698</v>
      </c>
      <c r="L114" s="384"/>
      <c r="M114" s="385"/>
    </row>
    <row r="115" spans="1:13" s="44" customFormat="1" ht="30" x14ac:dyDescent="0.25">
      <c r="A115" s="24"/>
      <c r="B115" s="1236"/>
      <c r="C115" s="1238"/>
      <c r="D115" s="1247"/>
      <c r="E115" s="380" t="s">
        <v>612</v>
      </c>
      <c r="F115" s="29" t="s">
        <v>74</v>
      </c>
      <c r="G115" s="29" t="s">
        <v>73</v>
      </c>
      <c r="H115" s="29" t="s">
        <v>24</v>
      </c>
      <c r="I115" s="29" t="s">
        <v>26</v>
      </c>
      <c r="J115" s="29" t="s">
        <v>25</v>
      </c>
      <c r="K115" s="29" t="s">
        <v>698</v>
      </c>
      <c r="L115" s="384"/>
      <c r="M115" s="385"/>
    </row>
    <row r="116" spans="1:13" s="44" customFormat="1" ht="30" x14ac:dyDescent="0.25">
      <c r="A116" s="24"/>
      <c r="B116" s="1236"/>
      <c r="C116" s="1238"/>
      <c r="D116" s="1249"/>
      <c r="E116" s="380" t="s">
        <v>613</v>
      </c>
      <c r="F116" s="29" t="s">
        <v>74</v>
      </c>
      <c r="G116" s="29" t="s">
        <v>73</v>
      </c>
      <c r="H116" s="29" t="s">
        <v>24</v>
      </c>
      <c r="I116" s="29" t="s">
        <v>26</v>
      </c>
      <c r="J116" s="29" t="s">
        <v>25</v>
      </c>
      <c r="K116" s="29" t="s">
        <v>698</v>
      </c>
      <c r="L116" s="384"/>
      <c r="M116" s="385"/>
    </row>
    <row r="117" spans="1:13" ht="45" x14ac:dyDescent="0.25">
      <c r="B117" s="1236"/>
      <c r="C117" s="1238"/>
      <c r="D117" s="1246" t="s">
        <v>27</v>
      </c>
      <c r="E117" s="29" t="s">
        <v>369</v>
      </c>
      <c r="F117" s="29" t="s">
        <v>720</v>
      </c>
      <c r="G117" s="29" t="s">
        <v>73</v>
      </c>
      <c r="H117" s="29" t="s">
        <v>24</v>
      </c>
      <c r="I117" s="29" t="s">
        <v>26</v>
      </c>
      <c r="J117" s="29" t="s">
        <v>25</v>
      </c>
      <c r="K117" s="29" t="s">
        <v>698</v>
      </c>
      <c r="L117" s="384"/>
      <c r="M117" s="385"/>
    </row>
    <row r="118" spans="1:13" ht="45" x14ac:dyDescent="0.25">
      <c r="B118" s="1236"/>
      <c r="C118" s="1238"/>
      <c r="D118" s="1249"/>
      <c r="E118" s="29" t="s">
        <v>370</v>
      </c>
      <c r="F118" s="29" t="s">
        <v>720</v>
      </c>
      <c r="G118" s="29" t="s">
        <v>73</v>
      </c>
      <c r="H118" s="29" t="s">
        <v>24</v>
      </c>
      <c r="I118" s="29" t="s">
        <v>26</v>
      </c>
      <c r="J118" s="29" t="s">
        <v>25</v>
      </c>
      <c r="K118" s="29" t="s">
        <v>698</v>
      </c>
      <c r="L118" s="384"/>
      <c r="M118" s="385"/>
    </row>
    <row r="119" spans="1:13" ht="45" x14ac:dyDescent="0.25">
      <c r="B119" s="1236"/>
      <c r="C119" s="1238"/>
      <c r="D119" s="1246" t="s">
        <v>75</v>
      </c>
      <c r="E119" s="29" t="s">
        <v>371</v>
      </c>
      <c r="F119" s="29" t="s">
        <v>713</v>
      </c>
      <c r="G119" s="29" t="s">
        <v>714</v>
      </c>
      <c r="H119" s="29" t="s">
        <v>82</v>
      </c>
      <c r="I119" s="29" t="s">
        <v>24</v>
      </c>
      <c r="J119" s="29" t="s">
        <v>26</v>
      </c>
      <c r="K119" s="29" t="s">
        <v>25</v>
      </c>
      <c r="L119" s="384" t="s">
        <v>698</v>
      </c>
      <c r="M119" s="385"/>
    </row>
    <row r="120" spans="1:13" s="44" customFormat="1" ht="45" x14ac:dyDescent="0.25">
      <c r="A120" s="24"/>
      <c r="B120" s="1236"/>
      <c r="C120" s="1238"/>
      <c r="D120" s="1247"/>
      <c r="E120" s="29" t="s">
        <v>608</v>
      </c>
      <c r="F120" s="29" t="s">
        <v>713</v>
      </c>
      <c r="G120" s="29" t="s">
        <v>714</v>
      </c>
      <c r="H120" s="29" t="s">
        <v>82</v>
      </c>
      <c r="I120" s="29" t="s">
        <v>24</v>
      </c>
      <c r="J120" s="29" t="s">
        <v>26</v>
      </c>
      <c r="K120" s="29" t="s">
        <v>25</v>
      </c>
      <c r="L120" s="384" t="s">
        <v>698</v>
      </c>
      <c r="M120" s="385"/>
    </row>
    <row r="121" spans="1:13" ht="45" x14ac:dyDescent="0.25">
      <c r="B121" s="1236"/>
      <c r="C121" s="1238"/>
      <c r="D121" s="1249"/>
      <c r="E121" s="29" t="s">
        <v>762</v>
      </c>
      <c r="F121" s="29" t="s">
        <v>714</v>
      </c>
      <c r="G121" s="29"/>
      <c r="H121" s="29" t="s">
        <v>82</v>
      </c>
      <c r="I121" s="29" t="s">
        <v>24</v>
      </c>
      <c r="J121" s="29" t="s">
        <v>26</v>
      </c>
      <c r="K121" s="29" t="s">
        <v>25</v>
      </c>
      <c r="L121" s="384" t="s">
        <v>698</v>
      </c>
      <c r="M121" s="385"/>
    </row>
    <row r="122" spans="1:13" ht="30" x14ac:dyDescent="0.25">
      <c r="B122" s="1236"/>
      <c r="C122" s="1238"/>
      <c r="D122" s="1246" t="s">
        <v>76</v>
      </c>
      <c r="E122" s="29" t="s">
        <v>690</v>
      </c>
      <c r="F122" s="29" t="s">
        <v>763</v>
      </c>
      <c r="G122" s="29" t="s">
        <v>72</v>
      </c>
      <c r="H122" s="29" t="s">
        <v>82</v>
      </c>
      <c r="I122" s="29" t="s">
        <v>24</v>
      </c>
      <c r="J122" s="29" t="s">
        <v>26</v>
      </c>
      <c r="K122" s="29" t="s">
        <v>25</v>
      </c>
      <c r="L122" s="384" t="s">
        <v>698</v>
      </c>
      <c r="M122" s="385"/>
    </row>
    <row r="123" spans="1:13" ht="30" x14ac:dyDescent="0.25">
      <c r="B123" s="1236"/>
      <c r="C123" s="1238"/>
      <c r="D123" s="1247"/>
      <c r="E123" s="29" t="s">
        <v>691</v>
      </c>
      <c r="F123" s="29" t="s">
        <v>763</v>
      </c>
      <c r="G123" s="29" t="s">
        <v>72</v>
      </c>
      <c r="H123" s="29" t="s">
        <v>82</v>
      </c>
      <c r="I123" s="29" t="s">
        <v>24</v>
      </c>
      <c r="J123" s="29" t="s">
        <v>26</v>
      </c>
      <c r="K123" s="29" t="s">
        <v>25</v>
      </c>
      <c r="L123" s="384" t="s">
        <v>698</v>
      </c>
      <c r="M123" s="385"/>
    </row>
    <row r="124" spans="1:13" ht="30" x14ac:dyDescent="0.25">
      <c r="B124" s="1236"/>
      <c r="C124" s="1238"/>
      <c r="D124" s="1247"/>
      <c r="E124" s="29" t="s">
        <v>692</v>
      </c>
      <c r="F124" s="29" t="s">
        <v>763</v>
      </c>
      <c r="G124" s="29" t="s">
        <v>72</v>
      </c>
      <c r="H124" s="29" t="s">
        <v>82</v>
      </c>
      <c r="I124" s="29" t="s">
        <v>24</v>
      </c>
      <c r="J124" s="29" t="s">
        <v>26</v>
      </c>
      <c r="K124" s="29" t="s">
        <v>25</v>
      </c>
      <c r="L124" s="384" t="s">
        <v>698</v>
      </c>
      <c r="M124" s="385"/>
    </row>
    <row r="125" spans="1:13" ht="30" x14ac:dyDescent="0.25">
      <c r="B125" s="1236"/>
      <c r="C125" s="1238"/>
      <c r="D125" s="1249"/>
      <c r="E125" s="29" t="s">
        <v>693</v>
      </c>
      <c r="F125" s="29" t="s">
        <v>763</v>
      </c>
      <c r="G125" s="29" t="s">
        <v>72</v>
      </c>
      <c r="H125" s="29" t="s">
        <v>82</v>
      </c>
      <c r="I125" s="29" t="s">
        <v>24</v>
      </c>
      <c r="J125" s="29" t="s">
        <v>26</v>
      </c>
      <c r="K125" s="29" t="s">
        <v>25</v>
      </c>
      <c r="L125" s="384" t="s">
        <v>698</v>
      </c>
      <c r="M125" s="385"/>
    </row>
    <row r="126" spans="1:13" ht="45" x14ac:dyDescent="0.25">
      <c r="B126" s="1236"/>
      <c r="C126" s="1238"/>
      <c r="D126" s="1246" t="s">
        <v>6</v>
      </c>
      <c r="E126" s="29" t="s">
        <v>372</v>
      </c>
      <c r="F126" s="29" t="s">
        <v>77</v>
      </c>
      <c r="G126" s="29" t="s">
        <v>392</v>
      </c>
      <c r="H126" s="29" t="s">
        <v>24</v>
      </c>
      <c r="I126" s="29" t="s">
        <v>26</v>
      </c>
      <c r="J126" s="29" t="s">
        <v>25</v>
      </c>
      <c r="K126" s="29" t="s">
        <v>698</v>
      </c>
      <c r="L126" s="384"/>
      <c r="M126" s="385"/>
    </row>
    <row r="127" spans="1:13" s="44" customFormat="1" ht="45" x14ac:dyDescent="0.25">
      <c r="A127" s="24"/>
      <c r="B127" s="1236"/>
      <c r="C127" s="1238"/>
      <c r="D127" s="1247"/>
      <c r="E127" s="29" t="s">
        <v>609</v>
      </c>
      <c r="F127" s="29" t="s">
        <v>77</v>
      </c>
      <c r="G127" s="29" t="s">
        <v>392</v>
      </c>
      <c r="H127" s="29" t="s">
        <v>24</v>
      </c>
      <c r="I127" s="29" t="s">
        <v>26</v>
      </c>
      <c r="J127" s="29" t="s">
        <v>25</v>
      </c>
      <c r="K127" s="29" t="s">
        <v>698</v>
      </c>
      <c r="L127" s="384"/>
      <c r="M127" s="385"/>
    </row>
    <row r="128" spans="1:13" s="44" customFormat="1" ht="45" x14ac:dyDescent="0.25">
      <c r="A128" s="24"/>
      <c r="B128" s="1236"/>
      <c r="C128" s="1238"/>
      <c r="D128" s="1249"/>
      <c r="E128" s="29" t="s">
        <v>610</v>
      </c>
      <c r="F128" s="29" t="s">
        <v>77</v>
      </c>
      <c r="G128" s="29" t="s">
        <v>392</v>
      </c>
      <c r="H128" s="29" t="s">
        <v>24</v>
      </c>
      <c r="I128" s="29" t="s">
        <v>26</v>
      </c>
      <c r="J128" s="29" t="s">
        <v>25</v>
      </c>
      <c r="K128" s="29" t="s">
        <v>698</v>
      </c>
      <c r="L128" s="384"/>
      <c r="M128" s="385"/>
    </row>
    <row r="129" spans="1:14" ht="30" x14ac:dyDescent="0.25">
      <c r="B129" s="1236"/>
      <c r="C129" s="1238"/>
      <c r="D129" s="1264" t="s">
        <v>78</v>
      </c>
      <c r="E129" s="29" t="s">
        <v>347</v>
      </c>
      <c r="F129" s="29" t="s">
        <v>32</v>
      </c>
      <c r="G129" s="29" t="s">
        <v>73</v>
      </c>
      <c r="H129" s="29" t="s">
        <v>24</v>
      </c>
      <c r="I129" s="29" t="s">
        <v>26</v>
      </c>
      <c r="J129" s="29" t="s">
        <v>25</v>
      </c>
      <c r="K129" s="29" t="s">
        <v>698</v>
      </c>
      <c r="L129" s="384"/>
      <c r="M129" s="385"/>
    </row>
    <row r="130" spans="1:14" ht="30" x14ac:dyDescent="0.25">
      <c r="B130" s="1236"/>
      <c r="C130" s="1238"/>
      <c r="D130" s="1265"/>
      <c r="E130" s="29" t="s">
        <v>346</v>
      </c>
      <c r="F130" s="29" t="s">
        <v>32</v>
      </c>
      <c r="G130" s="29"/>
      <c r="H130" s="29" t="s">
        <v>24</v>
      </c>
      <c r="I130" s="29" t="s">
        <v>26</v>
      </c>
      <c r="J130" s="29" t="s">
        <v>25</v>
      </c>
      <c r="K130" s="29" t="s">
        <v>698</v>
      </c>
      <c r="L130" s="384"/>
      <c r="M130" s="385"/>
    </row>
    <row r="131" spans="1:14" s="44" customFormat="1" ht="30" x14ac:dyDescent="0.25">
      <c r="A131" s="24"/>
      <c r="B131" s="1236"/>
      <c r="C131" s="1238"/>
      <c r="D131" s="1266"/>
      <c r="E131" s="29" t="s">
        <v>616</v>
      </c>
      <c r="F131" s="29" t="s">
        <v>32</v>
      </c>
      <c r="G131" s="29" t="s">
        <v>73</v>
      </c>
      <c r="H131" s="29" t="s">
        <v>24</v>
      </c>
      <c r="I131" s="29" t="s">
        <v>26</v>
      </c>
      <c r="J131" s="29" t="s">
        <v>25</v>
      </c>
      <c r="K131" s="29" t="s">
        <v>698</v>
      </c>
      <c r="L131" s="384"/>
      <c r="M131" s="385"/>
    </row>
    <row r="132" spans="1:14" ht="30" x14ac:dyDescent="0.25">
      <c r="B132" s="1236"/>
      <c r="C132" s="1238"/>
      <c r="D132" s="1246" t="s">
        <v>79</v>
      </c>
      <c r="E132" s="29" t="s">
        <v>79</v>
      </c>
      <c r="F132" s="29" t="s">
        <v>697</v>
      </c>
      <c r="G132" s="29"/>
      <c r="H132" s="29" t="s">
        <v>24</v>
      </c>
      <c r="I132" s="29" t="s">
        <v>26</v>
      </c>
      <c r="J132" s="29" t="s">
        <v>25</v>
      </c>
      <c r="K132" s="29" t="s">
        <v>698</v>
      </c>
      <c r="L132" s="384"/>
      <c r="M132" s="385"/>
    </row>
    <row r="133" spans="1:14" s="44" customFormat="1" ht="30" x14ac:dyDescent="0.25">
      <c r="A133" s="24"/>
      <c r="B133" s="1236"/>
      <c r="C133" s="1238"/>
      <c r="D133" s="1249"/>
      <c r="E133" s="29" t="s">
        <v>614</v>
      </c>
      <c r="F133" s="29" t="s">
        <v>697</v>
      </c>
      <c r="G133" s="29"/>
      <c r="H133" s="29" t="s">
        <v>24</v>
      </c>
      <c r="I133" s="29" t="s">
        <v>26</v>
      </c>
      <c r="J133" s="29" t="s">
        <v>25</v>
      </c>
      <c r="K133" s="29" t="s">
        <v>698</v>
      </c>
      <c r="L133" s="384"/>
      <c r="M133" s="385"/>
    </row>
    <row r="134" spans="1:14" ht="30" x14ac:dyDescent="0.25">
      <c r="B134" s="1236"/>
      <c r="C134" s="1238"/>
      <c r="D134" s="1246" t="s">
        <v>80</v>
      </c>
      <c r="E134" s="29" t="s">
        <v>80</v>
      </c>
      <c r="F134" s="29" t="s">
        <v>697</v>
      </c>
      <c r="G134" s="29"/>
      <c r="H134" s="29" t="s">
        <v>380</v>
      </c>
      <c r="I134" s="29" t="s">
        <v>24</v>
      </c>
      <c r="J134" s="29" t="s">
        <v>26</v>
      </c>
      <c r="K134" s="29" t="s">
        <v>25</v>
      </c>
      <c r="L134" s="384" t="s">
        <v>698</v>
      </c>
      <c r="M134" s="385"/>
    </row>
    <row r="135" spans="1:14" s="44" customFormat="1" ht="30" x14ac:dyDescent="0.25">
      <c r="A135" s="24"/>
      <c r="B135" s="1236"/>
      <c r="C135" s="1238"/>
      <c r="D135" s="1249"/>
      <c r="E135" s="29" t="s">
        <v>615</v>
      </c>
      <c r="F135" s="29" t="s">
        <v>697</v>
      </c>
      <c r="G135" s="29"/>
      <c r="H135" s="29" t="s">
        <v>380</v>
      </c>
      <c r="I135" s="29" t="s">
        <v>24</v>
      </c>
      <c r="J135" s="29" t="s">
        <v>26</v>
      </c>
      <c r="K135" s="29" t="s">
        <v>25</v>
      </c>
      <c r="L135" s="384" t="s">
        <v>698</v>
      </c>
      <c r="M135" s="385"/>
    </row>
    <row r="136" spans="1:14" ht="30" x14ac:dyDescent="0.25">
      <c r="B136" s="1236"/>
      <c r="C136" s="1238"/>
      <c r="D136" s="305" t="s">
        <v>350</v>
      </c>
      <c r="E136" s="29" t="str">
        <f>D136</f>
        <v>Particulate Analyzer - Mass</v>
      </c>
      <c r="F136" s="29" t="s">
        <v>726</v>
      </c>
      <c r="G136" s="29" t="s">
        <v>727</v>
      </c>
      <c r="H136" s="29" t="s">
        <v>73</v>
      </c>
      <c r="I136" s="29" t="s">
        <v>24</v>
      </c>
      <c r="J136" s="29" t="s">
        <v>26</v>
      </c>
      <c r="K136" s="29" t="s">
        <v>25</v>
      </c>
      <c r="L136" s="29" t="s">
        <v>698</v>
      </c>
      <c r="M136" s="385"/>
      <c r="N136" s="26"/>
    </row>
    <row r="137" spans="1:14" ht="30" x14ac:dyDescent="0.25">
      <c r="B137" s="1236"/>
      <c r="C137" s="1238"/>
      <c r="D137" s="307" t="s">
        <v>349</v>
      </c>
      <c r="E137" s="399" t="str">
        <f>D137</f>
        <v>Particulate Analyzer - Size</v>
      </c>
      <c r="F137" s="399" t="s">
        <v>712</v>
      </c>
      <c r="G137" s="399" t="s">
        <v>722</v>
      </c>
      <c r="H137" s="399" t="s">
        <v>24</v>
      </c>
      <c r="I137" s="399" t="s">
        <v>423</v>
      </c>
      <c r="J137" s="29" t="s">
        <v>26</v>
      </c>
      <c r="K137" s="29" t="s">
        <v>25</v>
      </c>
      <c r="L137" s="384" t="s">
        <v>698</v>
      </c>
      <c r="M137" s="385"/>
    </row>
    <row r="138" spans="1:14" s="950" customFormat="1" ht="30" x14ac:dyDescent="0.25">
      <c r="A138" s="24"/>
      <c r="B138" s="1236"/>
      <c r="C138" s="1251"/>
      <c r="D138" s="1246" t="s">
        <v>374</v>
      </c>
      <c r="E138" s="29" t="s">
        <v>655</v>
      </c>
      <c r="F138" s="29" t="s">
        <v>721</v>
      </c>
      <c r="G138" s="29" t="s">
        <v>81</v>
      </c>
      <c r="H138" s="29" t="s">
        <v>82</v>
      </c>
      <c r="I138" s="29" t="s">
        <v>24</v>
      </c>
      <c r="J138" s="29" t="s">
        <v>26</v>
      </c>
      <c r="K138" s="29" t="s">
        <v>25</v>
      </c>
      <c r="L138" s="29" t="s">
        <v>698</v>
      </c>
      <c r="M138" s="385"/>
      <c r="N138" s="26"/>
    </row>
    <row r="139" spans="1:14" ht="30" x14ac:dyDescent="0.25">
      <c r="B139" s="1236"/>
      <c r="C139" s="1251"/>
      <c r="D139" s="1247"/>
      <c r="E139" s="29" t="s">
        <v>656</v>
      </c>
      <c r="F139" s="29" t="s">
        <v>721</v>
      </c>
      <c r="G139" s="29" t="s">
        <v>81</v>
      </c>
      <c r="H139" s="29" t="s">
        <v>82</v>
      </c>
      <c r="I139" s="29" t="s">
        <v>24</v>
      </c>
      <c r="J139" s="29" t="s">
        <v>26</v>
      </c>
      <c r="K139" s="29" t="s">
        <v>25</v>
      </c>
      <c r="L139" s="29" t="s">
        <v>698</v>
      </c>
      <c r="M139" s="385"/>
      <c r="N139" s="26"/>
    </row>
    <row r="140" spans="1:14" s="44" customFormat="1" ht="30" x14ac:dyDescent="0.25">
      <c r="A140" s="24"/>
      <c r="B140" s="1236"/>
      <c r="C140" s="1251"/>
      <c r="D140" s="1247"/>
      <c r="E140" s="29" t="s">
        <v>657</v>
      </c>
      <c r="F140" s="29" t="s">
        <v>721</v>
      </c>
      <c r="G140" s="29" t="s">
        <v>81</v>
      </c>
      <c r="H140" s="29" t="s">
        <v>82</v>
      </c>
      <c r="I140" s="29" t="s">
        <v>24</v>
      </c>
      <c r="J140" s="29" t="s">
        <v>26</v>
      </c>
      <c r="K140" s="29" t="s">
        <v>25</v>
      </c>
      <c r="L140" s="29" t="s">
        <v>698</v>
      </c>
      <c r="M140" s="385"/>
      <c r="N140" s="26"/>
    </row>
    <row r="141" spans="1:14" ht="30" x14ac:dyDescent="0.25">
      <c r="B141" s="1236"/>
      <c r="C141" s="1251"/>
      <c r="D141" s="1247"/>
      <c r="E141" s="29" t="s">
        <v>658</v>
      </c>
      <c r="F141" s="29" t="s">
        <v>709</v>
      </c>
      <c r="G141" s="29" t="s">
        <v>387</v>
      </c>
      <c r="H141" s="29" t="s">
        <v>722</v>
      </c>
      <c r="I141" s="29" t="s">
        <v>24</v>
      </c>
      <c r="J141" s="29" t="s">
        <v>26</v>
      </c>
      <c r="K141" s="29" t="s">
        <v>25</v>
      </c>
      <c r="L141" s="384" t="s">
        <v>698</v>
      </c>
      <c r="M141" s="385"/>
    </row>
    <row r="142" spans="1:14" s="44" customFormat="1" ht="30" x14ac:dyDescent="0.25">
      <c r="A142" s="24"/>
      <c r="B142" s="1236"/>
      <c r="C142" s="1251"/>
      <c r="D142" s="1247"/>
      <c r="E142" s="29" t="s">
        <v>659</v>
      </c>
      <c r="F142" s="29" t="s">
        <v>709</v>
      </c>
      <c r="G142" s="29" t="s">
        <v>387</v>
      </c>
      <c r="H142" s="29" t="s">
        <v>722</v>
      </c>
      <c r="I142" s="29" t="s">
        <v>24</v>
      </c>
      <c r="J142" s="29" t="s">
        <v>26</v>
      </c>
      <c r="K142" s="29" t="s">
        <v>25</v>
      </c>
      <c r="L142" s="384" t="s">
        <v>698</v>
      </c>
      <c r="M142" s="385"/>
    </row>
    <row r="143" spans="1:14" s="950" customFormat="1" ht="30" x14ac:dyDescent="0.25">
      <c r="A143" s="24"/>
      <c r="B143" s="1236"/>
      <c r="C143" s="1251"/>
      <c r="D143" s="1247"/>
      <c r="E143" s="29" t="s">
        <v>1119</v>
      </c>
      <c r="F143" s="29" t="s">
        <v>709</v>
      </c>
      <c r="G143" s="29" t="s">
        <v>387</v>
      </c>
      <c r="H143" s="29" t="s">
        <v>722</v>
      </c>
      <c r="I143" s="29" t="s">
        <v>24</v>
      </c>
      <c r="J143" s="29" t="s">
        <v>26</v>
      </c>
      <c r="K143" s="29" t="s">
        <v>25</v>
      </c>
      <c r="L143" s="384" t="s">
        <v>698</v>
      </c>
      <c r="M143" s="385"/>
    </row>
    <row r="144" spans="1:14" s="950" customFormat="1" ht="30" x14ac:dyDescent="0.25">
      <c r="A144" s="24"/>
      <c r="B144" s="1236"/>
      <c r="C144" s="1251"/>
      <c r="D144" s="1247"/>
      <c r="E144" s="29" t="s">
        <v>1120</v>
      </c>
      <c r="F144" s="29" t="s">
        <v>709</v>
      </c>
      <c r="G144" s="29" t="s">
        <v>387</v>
      </c>
      <c r="H144" s="29" t="s">
        <v>722</v>
      </c>
      <c r="I144" s="29" t="s">
        <v>24</v>
      </c>
      <c r="J144" s="29" t="s">
        <v>26</v>
      </c>
      <c r="K144" s="29" t="s">
        <v>25</v>
      </c>
      <c r="L144" s="384" t="s">
        <v>698</v>
      </c>
      <c r="M144" s="385"/>
    </row>
    <row r="145" spans="1:13" ht="30" x14ac:dyDescent="0.25">
      <c r="B145" s="1236"/>
      <c r="C145" s="1251"/>
      <c r="D145" s="1247"/>
      <c r="E145" s="29" t="s">
        <v>660</v>
      </c>
      <c r="F145" s="29" t="s">
        <v>709</v>
      </c>
      <c r="G145" s="29" t="s">
        <v>387</v>
      </c>
      <c r="H145" s="29" t="s">
        <v>722</v>
      </c>
      <c r="I145" s="29" t="s">
        <v>24</v>
      </c>
      <c r="J145" s="29" t="s">
        <v>26</v>
      </c>
      <c r="K145" s="29" t="s">
        <v>25</v>
      </c>
      <c r="L145" s="384" t="s">
        <v>698</v>
      </c>
      <c r="M145" s="385"/>
    </row>
    <row r="146" spans="1:13" ht="30" x14ac:dyDescent="0.25">
      <c r="B146" s="1236"/>
      <c r="C146" s="1238"/>
      <c r="D146" s="1267" t="s">
        <v>661</v>
      </c>
      <c r="E146" s="304" t="s">
        <v>1095</v>
      </c>
      <c r="F146" s="304" t="s">
        <v>725</v>
      </c>
      <c r="G146" s="304"/>
      <c r="H146" s="304"/>
      <c r="I146" s="304" t="s">
        <v>24</v>
      </c>
      <c r="J146" s="304"/>
      <c r="K146" s="304" t="s">
        <v>25</v>
      </c>
      <c r="L146" s="322"/>
      <c r="M146" s="34"/>
    </row>
    <row r="147" spans="1:13" s="44" customFormat="1" ht="30" x14ac:dyDescent="0.25">
      <c r="A147" s="24"/>
      <c r="B147" s="1236"/>
      <c r="C147" s="1238"/>
      <c r="D147" s="1267"/>
      <c r="E147" s="304" t="s">
        <v>1096</v>
      </c>
      <c r="F147" s="304" t="s">
        <v>725</v>
      </c>
      <c r="G147" s="304"/>
      <c r="H147" s="304"/>
      <c r="I147" s="304" t="s">
        <v>24</v>
      </c>
      <c r="J147" s="304"/>
      <c r="K147" s="304" t="s">
        <v>25</v>
      </c>
      <c r="L147" s="322"/>
      <c r="M147" s="34"/>
    </row>
    <row r="148" spans="1:13" s="44" customFormat="1" ht="30" x14ac:dyDescent="0.25">
      <c r="A148" s="24"/>
      <c r="B148" s="1236"/>
      <c r="C148" s="1238"/>
      <c r="D148" s="1267"/>
      <c r="E148" s="304" t="s">
        <v>1097</v>
      </c>
      <c r="F148" s="304" t="s">
        <v>725</v>
      </c>
      <c r="G148" s="304"/>
      <c r="H148" s="304"/>
      <c r="I148" s="304" t="s">
        <v>24</v>
      </c>
      <c r="J148" s="304"/>
      <c r="K148" s="304" t="s">
        <v>25</v>
      </c>
      <c r="L148" s="322"/>
      <c r="M148" s="34"/>
    </row>
    <row r="149" spans="1:13" s="44" customFormat="1" ht="30" x14ac:dyDescent="0.25">
      <c r="A149" s="24"/>
      <c r="B149" s="1236"/>
      <c r="C149" s="1238"/>
      <c r="D149" s="1267"/>
      <c r="E149" s="304" t="s">
        <v>1099</v>
      </c>
      <c r="F149" s="304" t="s">
        <v>725</v>
      </c>
      <c r="G149" s="304"/>
      <c r="H149" s="304"/>
      <c r="I149" s="304" t="s">
        <v>24</v>
      </c>
      <c r="J149" s="304"/>
      <c r="K149" s="304" t="s">
        <v>25</v>
      </c>
      <c r="L149" s="322"/>
      <c r="M149" s="34"/>
    </row>
    <row r="150" spans="1:13" s="44" customFormat="1" ht="30" x14ac:dyDescent="0.25">
      <c r="A150" s="24"/>
      <c r="B150" s="1236"/>
      <c r="C150" s="1238"/>
      <c r="D150" s="1267"/>
      <c r="E150" s="304" t="s">
        <v>1098</v>
      </c>
      <c r="F150" s="304" t="s">
        <v>725</v>
      </c>
      <c r="G150" s="304"/>
      <c r="H150" s="304"/>
      <c r="I150" s="304" t="s">
        <v>24</v>
      </c>
      <c r="J150" s="304"/>
      <c r="K150" s="304" t="s">
        <v>25</v>
      </c>
      <c r="L150" s="322"/>
      <c r="M150" s="34"/>
    </row>
    <row r="151" spans="1:13" s="44" customFormat="1" ht="30" x14ac:dyDescent="0.25">
      <c r="A151" s="24"/>
      <c r="B151" s="1236"/>
      <c r="C151" s="1238"/>
      <c r="D151" s="1267"/>
      <c r="E151" s="304" t="s">
        <v>1100</v>
      </c>
      <c r="F151" s="304" t="s">
        <v>725</v>
      </c>
      <c r="G151" s="304"/>
      <c r="H151" s="304"/>
      <c r="I151" s="304" t="s">
        <v>24</v>
      </c>
      <c r="J151" s="304"/>
      <c r="K151" s="304" t="s">
        <v>25</v>
      </c>
      <c r="L151" s="322"/>
      <c r="M151" s="34"/>
    </row>
    <row r="152" spans="1:13" s="44" customFormat="1" ht="30" x14ac:dyDescent="0.25">
      <c r="A152" s="24"/>
      <c r="B152" s="1236"/>
      <c r="C152" s="1238"/>
      <c r="D152" s="1267"/>
      <c r="E152" s="304" t="s">
        <v>1101</v>
      </c>
      <c r="F152" s="304" t="s">
        <v>725</v>
      </c>
      <c r="G152" s="304"/>
      <c r="H152" s="304"/>
      <c r="I152" s="304" t="s">
        <v>24</v>
      </c>
      <c r="J152" s="304"/>
      <c r="K152" s="304" t="s">
        <v>25</v>
      </c>
      <c r="L152" s="322"/>
      <c r="M152" s="34"/>
    </row>
    <row r="153" spans="1:13" s="44" customFormat="1" ht="30" x14ac:dyDescent="0.25">
      <c r="A153" s="24"/>
      <c r="B153" s="1236"/>
      <c r="C153" s="1238"/>
      <c r="D153" s="1267"/>
      <c r="E153" s="424" t="s">
        <v>673</v>
      </c>
      <c r="F153" s="304" t="s">
        <v>385</v>
      </c>
      <c r="G153" s="304" t="s">
        <v>24</v>
      </c>
      <c r="H153" s="424" t="s">
        <v>26</v>
      </c>
      <c r="I153" s="424" t="s">
        <v>25</v>
      </c>
      <c r="J153" s="424" t="s">
        <v>698</v>
      </c>
      <c r="K153" s="424"/>
      <c r="L153" s="425"/>
      <c r="M153" s="426"/>
    </row>
    <row r="154" spans="1:13" s="44" customFormat="1" ht="30" x14ac:dyDescent="0.25">
      <c r="A154" s="24"/>
      <c r="B154" s="1236"/>
      <c r="C154" s="1238"/>
      <c r="D154" s="1267"/>
      <c r="E154" s="424" t="s">
        <v>674</v>
      </c>
      <c r="F154" s="304" t="s">
        <v>385</v>
      </c>
      <c r="G154" s="304" t="s">
        <v>24</v>
      </c>
      <c r="H154" s="424" t="s">
        <v>26</v>
      </c>
      <c r="I154" s="424" t="s">
        <v>25</v>
      </c>
      <c r="J154" s="424" t="s">
        <v>698</v>
      </c>
      <c r="K154" s="424"/>
      <c r="L154" s="425"/>
      <c r="M154" s="426"/>
    </row>
    <row r="155" spans="1:13" s="44" customFormat="1" ht="30" x14ac:dyDescent="0.25">
      <c r="A155" s="24"/>
      <c r="B155" s="1236"/>
      <c r="C155" s="1238"/>
      <c r="D155" s="1267"/>
      <c r="E155" s="424" t="s">
        <v>662</v>
      </c>
      <c r="F155" s="304" t="s">
        <v>385</v>
      </c>
      <c r="G155" s="304" t="s">
        <v>24</v>
      </c>
      <c r="H155" s="424" t="s">
        <v>26</v>
      </c>
      <c r="I155" s="424" t="s">
        <v>25</v>
      </c>
      <c r="J155" s="424" t="s">
        <v>698</v>
      </c>
      <c r="K155" s="424"/>
      <c r="L155" s="425"/>
      <c r="M155" s="426"/>
    </row>
    <row r="156" spans="1:13" s="44" customFormat="1" ht="30" x14ac:dyDescent="0.25">
      <c r="A156" s="24"/>
      <c r="B156" s="1236"/>
      <c r="C156" s="1238"/>
      <c r="D156" s="1267"/>
      <c r="E156" s="338" t="s">
        <v>663</v>
      </c>
      <c r="F156" s="338" t="s">
        <v>385</v>
      </c>
      <c r="G156" s="338" t="s">
        <v>24</v>
      </c>
      <c r="H156" s="338" t="s">
        <v>26</v>
      </c>
      <c r="I156" s="338" t="s">
        <v>25</v>
      </c>
      <c r="J156" s="338" t="s">
        <v>698</v>
      </c>
      <c r="K156" s="424"/>
      <c r="L156" s="425"/>
      <c r="M156" s="426"/>
    </row>
    <row r="157" spans="1:13" s="44" customFormat="1" ht="30" x14ac:dyDescent="0.25">
      <c r="A157" s="24"/>
      <c r="B157" s="1236"/>
      <c r="C157" s="1238"/>
      <c r="D157" s="1267"/>
      <c r="E157" s="338" t="s">
        <v>664</v>
      </c>
      <c r="F157" s="338" t="s">
        <v>385</v>
      </c>
      <c r="G157" s="338" t="s">
        <v>24</v>
      </c>
      <c r="H157" s="338" t="s">
        <v>26</v>
      </c>
      <c r="I157" s="338" t="s">
        <v>25</v>
      </c>
      <c r="J157" s="338" t="s">
        <v>698</v>
      </c>
      <c r="K157" s="424"/>
      <c r="L157" s="425"/>
      <c r="M157" s="426"/>
    </row>
    <row r="158" spans="1:13" s="44" customFormat="1" ht="30" x14ac:dyDescent="0.25">
      <c r="A158" s="24"/>
      <c r="B158" s="1236"/>
      <c r="C158" s="1238"/>
      <c r="D158" s="1267"/>
      <c r="E158" s="424" t="s">
        <v>665</v>
      </c>
      <c r="F158" s="304" t="s">
        <v>385</v>
      </c>
      <c r="G158" s="304" t="s">
        <v>24</v>
      </c>
      <c r="H158" s="424" t="s">
        <v>26</v>
      </c>
      <c r="I158" s="424" t="s">
        <v>25</v>
      </c>
      <c r="J158" s="424" t="s">
        <v>698</v>
      </c>
      <c r="K158" s="424"/>
      <c r="L158" s="425"/>
      <c r="M158" s="426"/>
    </row>
    <row r="159" spans="1:13" s="44" customFormat="1" ht="30" x14ac:dyDescent="0.25">
      <c r="A159" s="24"/>
      <c r="B159" s="1236"/>
      <c r="C159" s="1238"/>
      <c r="D159" s="1267"/>
      <c r="E159" s="424" t="s">
        <v>694</v>
      </c>
      <c r="F159" s="304" t="s">
        <v>387</v>
      </c>
      <c r="G159" s="304" t="s">
        <v>24</v>
      </c>
      <c r="H159" s="304" t="s">
        <v>26</v>
      </c>
      <c r="I159" s="304" t="s">
        <v>25</v>
      </c>
      <c r="J159" s="322" t="s">
        <v>698</v>
      </c>
      <c r="K159" s="427"/>
      <c r="L159" s="425"/>
      <c r="M159" s="426"/>
    </row>
    <row r="160" spans="1:13" s="44" customFormat="1" ht="30" x14ac:dyDescent="0.25">
      <c r="A160" s="24"/>
      <c r="B160" s="1236"/>
      <c r="C160" s="1238"/>
      <c r="D160" s="1267"/>
      <c r="E160" s="424" t="s">
        <v>695</v>
      </c>
      <c r="F160" s="304" t="s">
        <v>387</v>
      </c>
      <c r="G160" s="304" t="s">
        <v>24</v>
      </c>
      <c r="H160" s="304" t="s">
        <v>26</v>
      </c>
      <c r="I160" s="304" t="s">
        <v>25</v>
      </c>
      <c r="J160" s="322" t="s">
        <v>698</v>
      </c>
      <c r="K160" s="424"/>
      <c r="L160" s="425"/>
      <c r="M160" s="426"/>
    </row>
    <row r="161" spans="1:14" s="44" customFormat="1" ht="30" x14ac:dyDescent="0.25">
      <c r="A161" s="24"/>
      <c r="B161" s="1236"/>
      <c r="C161" s="1238"/>
      <c r="D161" s="1267"/>
      <c r="E161" s="424" t="s">
        <v>666</v>
      </c>
      <c r="F161" s="304" t="s">
        <v>387</v>
      </c>
      <c r="G161" s="304" t="s">
        <v>24</v>
      </c>
      <c r="H161" s="304" t="s">
        <v>26</v>
      </c>
      <c r="I161" s="304" t="s">
        <v>25</v>
      </c>
      <c r="J161" s="322" t="s">
        <v>698</v>
      </c>
      <c r="K161" s="424"/>
      <c r="L161" s="425"/>
      <c r="M161" s="426"/>
      <c r="N161" s="323"/>
    </row>
    <row r="162" spans="1:14" s="44" customFormat="1" ht="30" x14ac:dyDescent="0.25">
      <c r="A162" s="24"/>
      <c r="B162" s="1236"/>
      <c r="C162" s="1238"/>
      <c r="D162" s="1267"/>
      <c r="E162" s="338" t="s">
        <v>667</v>
      </c>
      <c r="F162" s="338" t="s">
        <v>387</v>
      </c>
      <c r="G162" s="338" t="s">
        <v>24</v>
      </c>
      <c r="H162" s="338" t="s">
        <v>26</v>
      </c>
      <c r="I162" s="338" t="s">
        <v>25</v>
      </c>
      <c r="J162" s="339" t="s">
        <v>698</v>
      </c>
      <c r="K162" s="424"/>
      <c r="L162" s="425"/>
      <c r="M162" s="426"/>
    </row>
    <row r="163" spans="1:14" s="44" customFormat="1" ht="30" x14ac:dyDescent="0.25">
      <c r="A163" s="24"/>
      <c r="B163" s="1236"/>
      <c r="C163" s="1238"/>
      <c r="D163" s="1267"/>
      <c r="E163" s="338" t="s">
        <v>668</v>
      </c>
      <c r="F163" s="338" t="s">
        <v>387</v>
      </c>
      <c r="G163" s="338" t="s">
        <v>24</v>
      </c>
      <c r="H163" s="338" t="s">
        <v>26</v>
      </c>
      <c r="I163" s="338" t="s">
        <v>25</v>
      </c>
      <c r="J163" s="339" t="s">
        <v>698</v>
      </c>
      <c r="K163" s="424"/>
      <c r="L163" s="425"/>
      <c r="M163" s="426"/>
    </row>
    <row r="164" spans="1:14" s="44" customFormat="1" ht="30" x14ac:dyDescent="0.25">
      <c r="A164" s="24"/>
      <c r="B164" s="1236"/>
      <c r="C164" s="1238"/>
      <c r="D164" s="1267"/>
      <c r="E164" s="424" t="s">
        <v>669</v>
      </c>
      <c r="F164" s="304" t="s">
        <v>387</v>
      </c>
      <c r="G164" s="304" t="s">
        <v>24</v>
      </c>
      <c r="H164" s="304" t="s">
        <v>26</v>
      </c>
      <c r="I164" s="304" t="s">
        <v>25</v>
      </c>
      <c r="J164" s="322" t="s">
        <v>698</v>
      </c>
      <c r="K164" s="424"/>
      <c r="L164" s="425"/>
      <c r="M164" s="426"/>
    </row>
    <row r="165" spans="1:14" s="44" customFormat="1" ht="30" x14ac:dyDescent="0.25">
      <c r="A165" s="24"/>
      <c r="B165" s="1236"/>
      <c r="C165" s="1238"/>
      <c r="D165" s="1267"/>
      <c r="E165" s="424" t="s">
        <v>670</v>
      </c>
      <c r="F165" s="304" t="s">
        <v>24</v>
      </c>
      <c r="G165" s="424"/>
      <c r="H165" s="424"/>
      <c r="I165" s="424"/>
      <c r="J165" s="424"/>
      <c r="K165" s="424"/>
      <c r="L165" s="425"/>
      <c r="M165" s="426"/>
    </row>
    <row r="166" spans="1:14" s="44" customFormat="1" ht="30" x14ac:dyDescent="0.25">
      <c r="A166" s="24"/>
      <c r="B166" s="1236"/>
      <c r="C166" s="1238"/>
      <c r="D166" s="1267"/>
      <c r="E166" s="424" t="s">
        <v>671</v>
      </c>
      <c r="F166" s="304" t="s">
        <v>24</v>
      </c>
      <c r="G166" s="424"/>
      <c r="H166" s="424"/>
      <c r="I166" s="424"/>
      <c r="J166" s="424"/>
      <c r="K166" s="424"/>
      <c r="L166" s="425"/>
      <c r="M166" s="426"/>
    </row>
    <row r="167" spans="1:14" ht="30" x14ac:dyDescent="0.25">
      <c r="B167" s="1236"/>
      <c r="C167" s="1238"/>
      <c r="D167" s="1267"/>
      <c r="E167" s="304" t="s">
        <v>672</v>
      </c>
      <c r="F167" s="304" t="s">
        <v>384</v>
      </c>
      <c r="G167" s="304" t="s">
        <v>24</v>
      </c>
      <c r="H167" s="304"/>
      <c r="I167" s="304"/>
      <c r="J167" s="304"/>
      <c r="K167" s="304"/>
      <c r="L167" s="322"/>
      <c r="M167" s="34"/>
    </row>
    <row r="168" spans="1:14" s="44" customFormat="1" ht="30" x14ac:dyDescent="0.25">
      <c r="A168" s="24"/>
      <c r="B168" s="1236"/>
      <c r="C168" s="1238"/>
      <c r="D168" s="1246" t="s">
        <v>437</v>
      </c>
      <c r="E168" s="29" t="s">
        <v>84</v>
      </c>
      <c r="F168" s="29" t="s">
        <v>728</v>
      </c>
      <c r="G168" s="29" t="s">
        <v>89</v>
      </c>
      <c r="H168" s="29" t="s">
        <v>729</v>
      </c>
      <c r="I168" s="29" t="s">
        <v>73</v>
      </c>
      <c r="J168" s="29" t="s">
        <v>24</v>
      </c>
      <c r="K168" s="29" t="s">
        <v>26</v>
      </c>
      <c r="L168" s="29" t="s">
        <v>25</v>
      </c>
      <c r="M168" s="385" t="s">
        <v>698</v>
      </c>
      <c r="N168" s="26"/>
    </row>
    <row r="169" spans="1:14" ht="30.75" thickBot="1" x14ac:dyDescent="0.3">
      <c r="B169" s="1236"/>
      <c r="C169" s="1239"/>
      <c r="D169" s="1254"/>
      <c r="E169" s="396" t="s">
        <v>617</v>
      </c>
      <c r="F169" s="396" t="s">
        <v>728</v>
      </c>
      <c r="G169" s="396" t="s">
        <v>89</v>
      </c>
      <c r="H169" s="396" t="s">
        <v>729</v>
      </c>
      <c r="I169" s="396" t="s">
        <v>73</v>
      </c>
      <c r="J169" s="396" t="s">
        <v>24</v>
      </c>
      <c r="K169" s="396" t="s">
        <v>26</v>
      </c>
      <c r="L169" s="396" t="s">
        <v>25</v>
      </c>
      <c r="M169" s="428" t="s">
        <v>698</v>
      </c>
      <c r="N169" s="26"/>
    </row>
    <row r="170" spans="1:14" ht="30.75" thickTop="1" x14ac:dyDescent="0.25">
      <c r="B170" s="1236"/>
      <c r="C170" s="1238" t="s">
        <v>629</v>
      </c>
      <c r="D170" s="319" t="s">
        <v>86</v>
      </c>
      <c r="E170" s="429" t="s">
        <v>676</v>
      </c>
      <c r="F170" s="304" t="s">
        <v>718</v>
      </c>
      <c r="G170" s="304" t="s">
        <v>82</v>
      </c>
      <c r="H170" s="304" t="s">
        <v>24</v>
      </c>
      <c r="I170" s="304" t="s">
        <v>26</v>
      </c>
      <c r="J170" s="304" t="s">
        <v>25</v>
      </c>
      <c r="K170" s="304" t="s">
        <v>698</v>
      </c>
      <c r="L170" s="322"/>
      <c r="M170" s="34"/>
    </row>
    <row r="171" spans="1:14" ht="30" x14ac:dyDescent="0.25">
      <c r="B171" s="1236"/>
      <c r="C171" s="1238"/>
      <c r="D171" s="317" t="s">
        <v>33</v>
      </c>
      <c r="E171" s="29" t="s">
        <v>677</v>
      </c>
      <c r="F171" s="29" t="s">
        <v>715</v>
      </c>
      <c r="G171" s="29" t="s">
        <v>82</v>
      </c>
      <c r="H171" s="29" t="s">
        <v>24</v>
      </c>
      <c r="I171" s="29" t="s">
        <v>26</v>
      </c>
      <c r="J171" s="29" t="s">
        <v>25</v>
      </c>
      <c r="K171" s="29" t="s">
        <v>698</v>
      </c>
      <c r="L171" s="384"/>
      <c r="M171" s="385"/>
    </row>
    <row r="172" spans="1:14" ht="30" x14ac:dyDescent="0.25">
      <c r="B172" s="1236"/>
      <c r="C172" s="1238"/>
      <c r="D172" s="318" t="s">
        <v>34</v>
      </c>
      <c r="E172" s="29" t="s">
        <v>678</v>
      </c>
      <c r="F172" s="29" t="s">
        <v>719</v>
      </c>
      <c r="G172" s="29" t="s">
        <v>82</v>
      </c>
      <c r="H172" s="29" t="s">
        <v>24</v>
      </c>
      <c r="I172" s="29" t="s">
        <v>26</v>
      </c>
      <c r="J172" s="29" t="s">
        <v>25</v>
      </c>
      <c r="K172" s="29" t="s">
        <v>698</v>
      </c>
      <c r="L172" s="384"/>
      <c r="M172" s="385"/>
    </row>
    <row r="173" spans="1:14" ht="30" x14ac:dyDescent="0.25">
      <c r="B173" s="1236"/>
      <c r="C173" s="1238"/>
      <c r="D173" s="318" t="s">
        <v>78</v>
      </c>
      <c r="E173" s="29" t="s">
        <v>32</v>
      </c>
      <c r="F173" s="29" t="s">
        <v>32</v>
      </c>
      <c r="G173" s="29" t="s">
        <v>73</v>
      </c>
      <c r="H173" s="29" t="s">
        <v>24</v>
      </c>
      <c r="I173" s="29" t="s">
        <v>26</v>
      </c>
      <c r="J173" s="29" t="s">
        <v>25</v>
      </c>
      <c r="K173" s="29" t="s">
        <v>698</v>
      </c>
      <c r="L173" s="384"/>
      <c r="M173" s="385"/>
    </row>
    <row r="174" spans="1:14" s="44" customFormat="1" ht="30" x14ac:dyDescent="0.25">
      <c r="A174" s="24"/>
      <c r="B174" s="1236"/>
      <c r="C174" s="1238"/>
      <c r="D174" s="316" t="s">
        <v>373</v>
      </c>
      <c r="E174" s="429" t="s">
        <v>373</v>
      </c>
      <c r="F174" s="304" t="s">
        <v>85</v>
      </c>
      <c r="G174" s="304" t="s">
        <v>82</v>
      </c>
      <c r="H174" s="304" t="s">
        <v>24</v>
      </c>
      <c r="I174" s="304" t="s">
        <v>26</v>
      </c>
      <c r="J174" s="304" t="s">
        <v>25</v>
      </c>
      <c r="K174" s="304" t="s">
        <v>698</v>
      </c>
      <c r="L174" s="322"/>
      <c r="M174" s="34"/>
    </row>
    <row r="175" spans="1:14" ht="30" x14ac:dyDescent="0.25">
      <c r="B175" s="1236"/>
      <c r="C175" s="1238"/>
      <c r="D175" s="1268" t="s">
        <v>87</v>
      </c>
      <c r="E175" s="29" t="s">
        <v>1145</v>
      </c>
      <c r="F175" s="29" t="s">
        <v>730</v>
      </c>
      <c r="G175" s="29" t="s">
        <v>82</v>
      </c>
      <c r="H175" s="29" t="s">
        <v>24</v>
      </c>
      <c r="I175" s="29" t="s">
        <v>26</v>
      </c>
      <c r="J175" s="29" t="s">
        <v>25</v>
      </c>
      <c r="K175" s="29" t="s">
        <v>698</v>
      </c>
      <c r="L175" s="384"/>
      <c r="M175" s="385"/>
    </row>
    <row r="176" spans="1:14" s="950" customFormat="1" ht="30" x14ac:dyDescent="0.25">
      <c r="A176" s="24"/>
      <c r="B176" s="1236"/>
      <c r="C176" s="1238"/>
      <c r="D176" s="1269"/>
      <c r="E176" s="29" t="s">
        <v>1140</v>
      </c>
      <c r="F176" s="29" t="s">
        <v>730</v>
      </c>
      <c r="G176" s="29" t="s">
        <v>82</v>
      </c>
      <c r="H176" s="29" t="s">
        <v>24</v>
      </c>
      <c r="I176" s="29" t="s">
        <v>26</v>
      </c>
      <c r="J176" s="29" t="s">
        <v>25</v>
      </c>
      <c r="K176" s="29" t="s">
        <v>698</v>
      </c>
      <c r="L176" s="384"/>
      <c r="M176" s="385"/>
    </row>
    <row r="177" spans="1:15" s="950" customFormat="1" ht="30" x14ac:dyDescent="0.25">
      <c r="A177" s="24"/>
      <c r="B177" s="1236"/>
      <c r="C177" s="1238"/>
      <c r="D177" s="1269"/>
      <c r="E177" s="29" t="s">
        <v>1141</v>
      </c>
      <c r="F177" s="29" t="s">
        <v>730</v>
      </c>
      <c r="G177" s="29" t="s">
        <v>82</v>
      </c>
      <c r="H177" s="29" t="s">
        <v>24</v>
      </c>
      <c r="I177" s="29" t="s">
        <v>26</v>
      </c>
      <c r="J177" s="29" t="s">
        <v>25</v>
      </c>
      <c r="K177" s="29" t="s">
        <v>698</v>
      </c>
      <c r="L177" s="384"/>
      <c r="M177" s="385"/>
    </row>
    <row r="178" spans="1:15" s="950" customFormat="1" ht="30" x14ac:dyDescent="0.25">
      <c r="A178" s="24"/>
      <c r="B178" s="1236"/>
      <c r="C178" s="1238"/>
      <c r="D178" s="1269"/>
      <c r="E178" s="29" t="s">
        <v>1142</v>
      </c>
      <c r="F178" s="29" t="s">
        <v>730</v>
      </c>
      <c r="G178" s="29" t="s">
        <v>82</v>
      </c>
      <c r="H178" s="29" t="s">
        <v>24</v>
      </c>
      <c r="I178" s="29" t="s">
        <v>26</v>
      </c>
      <c r="J178" s="29" t="s">
        <v>25</v>
      </c>
      <c r="K178" s="29" t="s">
        <v>698</v>
      </c>
      <c r="L178" s="384"/>
      <c r="M178" s="385"/>
    </row>
    <row r="179" spans="1:15" s="950" customFormat="1" ht="30" x14ac:dyDescent="0.25">
      <c r="A179" s="24"/>
      <c r="B179" s="1236"/>
      <c r="C179" s="1238"/>
      <c r="D179" s="1269"/>
      <c r="E179" s="29" t="s">
        <v>1143</v>
      </c>
      <c r="F179" s="29" t="s">
        <v>730</v>
      </c>
      <c r="G179" s="29" t="s">
        <v>82</v>
      </c>
      <c r="H179" s="29" t="s">
        <v>24</v>
      </c>
      <c r="I179" s="29" t="s">
        <v>26</v>
      </c>
      <c r="J179" s="29" t="s">
        <v>25</v>
      </c>
      <c r="K179" s="29" t="s">
        <v>698</v>
      </c>
      <c r="L179" s="384"/>
      <c r="M179" s="385"/>
    </row>
    <row r="180" spans="1:15" s="950" customFormat="1" ht="30" x14ac:dyDescent="0.25">
      <c r="A180" s="24"/>
      <c r="B180" s="1236"/>
      <c r="C180" s="1238"/>
      <c r="D180" s="1269"/>
      <c r="E180" s="29" t="s">
        <v>1144</v>
      </c>
      <c r="F180" s="29" t="s">
        <v>730</v>
      </c>
      <c r="G180" s="29" t="s">
        <v>82</v>
      </c>
      <c r="H180" s="29" t="s">
        <v>24</v>
      </c>
      <c r="I180" s="29" t="s">
        <v>26</v>
      </c>
      <c r="J180" s="29" t="s">
        <v>25</v>
      </c>
      <c r="K180" s="29" t="s">
        <v>698</v>
      </c>
      <c r="L180" s="384"/>
      <c r="M180" s="385"/>
    </row>
    <row r="181" spans="1:15" s="42" customFormat="1" ht="30" x14ac:dyDescent="0.25">
      <c r="A181" s="24"/>
      <c r="B181" s="1236"/>
      <c r="C181" s="1238"/>
      <c r="D181" s="1270"/>
      <c r="E181" s="29" t="s">
        <v>679</v>
      </c>
      <c r="F181" s="29" t="s">
        <v>730</v>
      </c>
      <c r="G181" s="29" t="s">
        <v>82</v>
      </c>
      <c r="H181" s="29" t="s">
        <v>24</v>
      </c>
      <c r="I181" s="29" t="s">
        <v>26</v>
      </c>
      <c r="J181" s="29" t="s">
        <v>25</v>
      </c>
      <c r="K181" s="29" t="s">
        <v>698</v>
      </c>
      <c r="L181" s="384"/>
      <c r="M181" s="385"/>
    </row>
    <row r="182" spans="1:15" ht="30" x14ac:dyDescent="0.25">
      <c r="B182" s="1236"/>
      <c r="C182" s="1238"/>
      <c r="D182" s="1252" t="s">
        <v>88</v>
      </c>
      <c r="E182" s="427" t="s">
        <v>680</v>
      </c>
      <c r="F182" s="29" t="s">
        <v>89</v>
      </c>
      <c r="G182" s="29" t="s">
        <v>73</v>
      </c>
      <c r="H182" s="29" t="s">
        <v>24</v>
      </c>
      <c r="I182" s="29" t="s">
        <v>26</v>
      </c>
      <c r="J182" s="29" t="s">
        <v>25</v>
      </c>
      <c r="K182" s="29" t="s">
        <v>698</v>
      </c>
      <c r="L182" s="384"/>
      <c r="M182" s="385"/>
    </row>
    <row r="183" spans="1:15" s="44" customFormat="1" ht="30" x14ac:dyDescent="0.25">
      <c r="A183" s="24"/>
      <c r="B183" s="1236"/>
      <c r="C183" s="1238"/>
      <c r="D183" s="1253"/>
      <c r="E183" s="427" t="s">
        <v>681</v>
      </c>
      <c r="F183" s="29" t="s">
        <v>89</v>
      </c>
      <c r="G183" s="29" t="s">
        <v>73</v>
      </c>
      <c r="H183" s="29" t="s">
        <v>24</v>
      </c>
      <c r="I183" s="29" t="s">
        <v>26</v>
      </c>
      <c r="J183" s="29" t="s">
        <v>25</v>
      </c>
      <c r="K183" s="29" t="s">
        <v>698</v>
      </c>
      <c r="L183" s="384"/>
      <c r="M183" s="385"/>
    </row>
    <row r="184" spans="1:15" ht="45" x14ac:dyDescent="0.25">
      <c r="B184" s="1236"/>
      <c r="C184" s="1238"/>
      <c r="D184" s="317" t="s">
        <v>90</v>
      </c>
      <c r="E184" s="29" t="s">
        <v>682</v>
      </c>
      <c r="F184" s="29" t="s">
        <v>720</v>
      </c>
      <c r="G184" s="29" t="s">
        <v>82</v>
      </c>
      <c r="H184" s="29" t="s">
        <v>24</v>
      </c>
      <c r="I184" s="29" t="s">
        <v>26</v>
      </c>
      <c r="J184" s="29" t="s">
        <v>25</v>
      </c>
      <c r="K184" s="29" t="s">
        <v>698</v>
      </c>
      <c r="L184" s="384"/>
      <c r="M184" s="385"/>
    </row>
    <row r="185" spans="1:15" ht="30.75" thickBot="1" x14ac:dyDescent="0.3">
      <c r="B185" s="1236"/>
      <c r="C185" s="1238"/>
      <c r="D185" s="1061" t="s">
        <v>91</v>
      </c>
      <c r="E185" s="427" t="s">
        <v>683</v>
      </c>
      <c r="F185" s="29" t="s">
        <v>731</v>
      </c>
      <c r="G185" s="29" t="s">
        <v>73</v>
      </c>
      <c r="H185" s="29" t="s">
        <v>24</v>
      </c>
      <c r="I185" s="29" t="s">
        <v>26</v>
      </c>
      <c r="J185" s="29" t="s">
        <v>25</v>
      </c>
      <c r="K185" s="29" t="s">
        <v>698</v>
      </c>
      <c r="L185" s="384"/>
      <c r="M185" s="385"/>
    </row>
    <row r="186" spans="1:15" ht="45.75" thickTop="1" x14ac:dyDescent="0.25">
      <c r="B186" s="1236"/>
      <c r="C186" s="1241" t="s">
        <v>675</v>
      </c>
      <c r="D186" s="1250" t="s">
        <v>397</v>
      </c>
      <c r="E186" s="392" t="s">
        <v>391</v>
      </c>
      <c r="F186" s="392" t="s">
        <v>716</v>
      </c>
      <c r="G186" s="410" t="s">
        <v>92</v>
      </c>
      <c r="H186" s="392" t="s">
        <v>82</v>
      </c>
      <c r="I186" s="392" t="s">
        <v>24</v>
      </c>
      <c r="J186" s="392" t="s">
        <v>26</v>
      </c>
      <c r="K186" s="392" t="s">
        <v>25</v>
      </c>
      <c r="L186" s="392" t="s">
        <v>698</v>
      </c>
      <c r="M186" s="395"/>
      <c r="N186" s="26"/>
    </row>
    <row r="187" spans="1:15" ht="45.75" thickBot="1" x14ac:dyDescent="0.3">
      <c r="B187" s="1236"/>
      <c r="C187" s="1239"/>
      <c r="D187" s="1249"/>
      <c r="E187" s="430" t="s">
        <v>390</v>
      </c>
      <c r="F187" s="304" t="s">
        <v>716</v>
      </c>
      <c r="G187" s="322" t="s">
        <v>92</v>
      </c>
      <c r="H187" s="29" t="s">
        <v>82</v>
      </c>
      <c r="I187" s="304" t="s">
        <v>24</v>
      </c>
      <c r="J187" s="304" t="s">
        <v>26</v>
      </c>
      <c r="K187" s="304" t="s">
        <v>25</v>
      </c>
      <c r="L187" s="304" t="s">
        <v>698</v>
      </c>
      <c r="M187" s="34"/>
      <c r="N187" s="26"/>
    </row>
    <row r="188" spans="1:15" ht="51" customHeight="1" thickTop="1" x14ac:dyDescent="0.25">
      <c r="B188" s="1236"/>
      <c r="C188" s="1241" t="s">
        <v>13</v>
      </c>
      <c r="D188" s="1250" t="s">
        <v>661</v>
      </c>
      <c r="E188" s="392" t="s">
        <v>684</v>
      </c>
      <c r="F188" s="392" t="s">
        <v>711</v>
      </c>
      <c r="G188" s="392" t="s">
        <v>732</v>
      </c>
      <c r="H188" s="392" t="s">
        <v>54</v>
      </c>
      <c r="I188" s="392" t="s">
        <v>387</v>
      </c>
      <c r="J188" s="392" t="s">
        <v>24</v>
      </c>
      <c r="K188" s="392" t="s">
        <v>26</v>
      </c>
      <c r="L188" s="392" t="s">
        <v>25</v>
      </c>
      <c r="M188" s="410" t="s">
        <v>698</v>
      </c>
      <c r="N188" s="56" t="s">
        <v>466</v>
      </c>
      <c r="O188" s="37"/>
    </row>
    <row r="189" spans="1:15" ht="47.25" customHeight="1" x14ac:dyDescent="0.25">
      <c r="B189" s="1236"/>
      <c r="C189" s="1238"/>
      <c r="D189" s="1247"/>
      <c r="E189" s="304" t="s">
        <v>685</v>
      </c>
      <c r="F189" s="304" t="s">
        <v>710</v>
      </c>
      <c r="G189" s="304" t="s">
        <v>732</v>
      </c>
      <c r="H189" s="304" t="s">
        <v>387</v>
      </c>
      <c r="I189" s="304" t="s">
        <v>24</v>
      </c>
      <c r="J189" s="304" t="s">
        <v>26</v>
      </c>
      <c r="K189" s="29" t="s">
        <v>25</v>
      </c>
      <c r="L189" s="29" t="s">
        <v>698</v>
      </c>
      <c r="M189" s="384"/>
      <c r="N189" s="29" t="s">
        <v>464</v>
      </c>
      <c r="O189" s="37"/>
    </row>
    <row r="190" spans="1:15" s="44" customFormat="1" ht="30" x14ac:dyDescent="0.25">
      <c r="A190" s="24"/>
      <c r="B190" s="1236"/>
      <c r="C190" s="1238"/>
      <c r="D190" s="1247"/>
      <c r="E190" s="424" t="s">
        <v>686</v>
      </c>
      <c r="F190" s="304" t="s">
        <v>722</v>
      </c>
      <c r="G190" s="304" t="s">
        <v>423</v>
      </c>
      <c r="H190" s="304" t="s">
        <v>24</v>
      </c>
      <c r="I190" s="304" t="s">
        <v>26</v>
      </c>
      <c r="J190" s="29" t="s">
        <v>25</v>
      </c>
      <c r="K190" s="29" t="s">
        <v>698</v>
      </c>
      <c r="L190" s="322"/>
      <c r="M190" s="322"/>
      <c r="N190" s="56"/>
      <c r="O190" s="37"/>
    </row>
    <row r="191" spans="1:15" s="950" customFormat="1" x14ac:dyDescent="0.25">
      <c r="A191" s="24"/>
      <c r="B191" s="1236"/>
      <c r="C191" s="1238"/>
      <c r="D191" s="1247"/>
      <c r="E191" s="1105"/>
      <c r="F191" s="304"/>
      <c r="G191" s="304"/>
      <c r="H191" s="304"/>
      <c r="I191" s="304"/>
      <c r="J191" s="29"/>
      <c r="K191" s="29"/>
      <c r="L191" s="322"/>
      <c r="M191" s="322"/>
      <c r="N191" s="56"/>
      <c r="O191" s="37"/>
    </row>
    <row r="192" spans="1:15" s="950" customFormat="1" x14ac:dyDescent="0.25">
      <c r="A192" s="24"/>
      <c r="B192" s="1236"/>
      <c r="C192" s="1238"/>
      <c r="D192" s="1247"/>
      <c r="E192" s="1105"/>
      <c r="F192" s="304"/>
      <c r="G192" s="304"/>
      <c r="H192" s="304"/>
      <c r="I192" s="304"/>
      <c r="J192" s="29"/>
      <c r="K192" s="29"/>
      <c r="L192" s="322"/>
      <c r="M192" s="322"/>
      <c r="N192" s="56"/>
      <c r="O192" s="37"/>
    </row>
    <row r="193" spans="1:15" ht="45" x14ac:dyDescent="0.25">
      <c r="B193" s="1236"/>
      <c r="C193" s="1238"/>
      <c r="D193" s="1247"/>
      <c r="E193" s="304" t="s">
        <v>723</v>
      </c>
      <c r="F193" s="304" t="s">
        <v>465</v>
      </c>
      <c r="G193" s="304"/>
      <c r="H193" s="304" t="s">
        <v>24</v>
      </c>
      <c r="I193" s="304" t="s">
        <v>26</v>
      </c>
      <c r="J193" s="29" t="s">
        <v>25</v>
      </c>
      <c r="K193" s="29" t="s">
        <v>698</v>
      </c>
      <c r="L193" s="322"/>
      <c r="M193" s="322"/>
      <c r="N193" s="56" t="s">
        <v>724</v>
      </c>
      <c r="O193" s="37"/>
    </row>
    <row r="194" spans="1:15" ht="42.75" customHeight="1" x14ac:dyDescent="0.25">
      <c r="B194" s="1236"/>
      <c r="C194" s="1238"/>
      <c r="D194" s="1249"/>
      <c r="E194" s="304" t="s">
        <v>687</v>
      </c>
      <c r="F194" s="304" t="s">
        <v>387</v>
      </c>
      <c r="G194" s="304"/>
      <c r="H194" s="304" t="s">
        <v>24</v>
      </c>
      <c r="I194" s="304" t="s">
        <v>26</v>
      </c>
      <c r="J194" s="29" t="s">
        <v>25</v>
      </c>
      <c r="K194" s="29" t="s">
        <v>698</v>
      </c>
      <c r="L194" s="322"/>
      <c r="M194" s="322"/>
      <c r="N194" s="56" t="s">
        <v>467</v>
      </c>
      <c r="O194" s="37"/>
    </row>
    <row r="195" spans="1:15" s="44" customFormat="1" ht="30" x14ac:dyDescent="0.25">
      <c r="A195" s="24"/>
      <c r="B195" s="1236"/>
      <c r="C195" s="1238"/>
      <c r="D195" s="1246" t="s">
        <v>374</v>
      </c>
      <c r="E195" s="29" t="s">
        <v>688</v>
      </c>
      <c r="F195" s="304" t="s">
        <v>384</v>
      </c>
      <c r="G195" s="304" t="s">
        <v>24</v>
      </c>
      <c r="H195" s="29"/>
      <c r="I195" s="29"/>
      <c r="J195" s="29"/>
      <c r="K195" s="29"/>
      <c r="L195" s="384"/>
      <c r="M195" s="385"/>
    </row>
    <row r="196" spans="1:15" ht="30.75" thickBot="1" x14ac:dyDescent="0.3">
      <c r="B196" s="1237"/>
      <c r="C196" s="1240"/>
      <c r="D196" s="1263"/>
      <c r="E196" s="412" t="s">
        <v>689</v>
      </c>
      <c r="F196" s="412" t="s">
        <v>732</v>
      </c>
      <c r="G196" s="412" t="s">
        <v>387</v>
      </c>
      <c r="H196" s="412" t="s">
        <v>24</v>
      </c>
      <c r="I196" s="412" t="s">
        <v>26</v>
      </c>
      <c r="J196" s="412" t="s">
        <v>25</v>
      </c>
      <c r="K196" s="412" t="s">
        <v>698</v>
      </c>
      <c r="L196" s="413"/>
      <c r="M196" s="414"/>
    </row>
    <row r="197" spans="1:15" ht="30.75" thickBot="1" x14ac:dyDescent="0.3">
      <c r="B197" s="1111" t="s">
        <v>1164</v>
      </c>
      <c r="C197" s="1116" t="s">
        <v>675</v>
      </c>
      <c r="D197" s="1112"/>
      <c r="E197" s="1113" t="s">
        <v>1163</v>
      </c>
      <c r="F197" s="1114" t="s">
        <v>24</v>
      </c>
      <c r="G197" s="1114" t="s">
        <v>26</v>
      </c>
      <c r="H197" s="1114"/>
      <c r="I197" s="1114"/>
      <c r="J197" s="1114"/>
      <c r="K197" s="1114"/>
      <c r="L197" s="1114"/>
      <c r="M197" s="1115"/>
    </row>
  </sheetData>
  <mergeCells count="54">
    <mergeCell ref="D70:D75"/>
    <mergeCell ref="B60:B82"/>
    <mergeCell ref="C80:C82"/>
    <mergeCell ref="D109:D116"/>
    <mergeCell ref="D91:D102"/>
    <mergeCell ref="B83:B196"/>
    <mergeCell ref="D168:D169"/>
    <mergeCell ref="D195:D196"/>
    <mergeCell ref="D126:D128"/>
    <mergeCell ref="D129:D131"/>
    <mergeCell ref="D132:D133"/>
    <mergeCell ref="D134:D135"/>
    <mergeCell ref="C188:C196"/>
    <mergeCell ref="D146:D167"/>
    <mergeCell ref="D188:D194"/>
    <mergeCell ref="D175:D181"/>
    <mergeCell ref="B48:B59"/>
    <mergeCell ref="C48:C56"/>
    <mergeCell ref="D48:D56"/>
    <mergeCell ref="B26:B47"/>
    <mergeCell ref="D62:D63"/>
    <mergeCell ref="D37:D39"/>
    <mergeCell ref="D40:D41"/>
    <mergeCell ref="D42:D43"/>
    <mergeCell ref="D44:D45"/>
    <mergeCell ref="D46:D47"/>
    <mergeCell ref="C57:C59"/>
    <mergeCell ref="C186:C187"/>
    <mergeCell ref="D186:D187"/>
    <mergeCell ref="C170:C185"/>
    <mergeCell ref="D86:D90"/>
    <mergeCell ref="D103:D108"/>
    <mergeCell ref="D182:D183"/>
    <mergeCell ref="F2:M2"/>
    <mergeCell ref="D138:D145"/>
    <mergeCell ref="C60:C75"/>
    <mergeCell ref="C76:C79"/>
    <mergeCell ref="D60:D61"/>
    <mergeCell ref="D64:D69"/>
    <mergeCell ref="D117:D118"/>
    <mergeCell ref="D119:D121"/>
    <mergeCell ref="D122:D125"/>
    <mergeCell ref="D83:D85"/>
    <mergeCell ref="C40:C43"/>
    <mergeCell ref="C44:C47"/>
    <mergeCell ref="C27:C39"/>
    <mergeCell ref="D27:D31"/>
    <mergeCell ref="D32:D36"/>
    <mergeCell ref="C83:C169"/>
    <mergeCell ref="B3:B25"/>
    <mergeCell ref="C14:C16"/>
    <mergeCell ref="C22:C25"/>
    <mergeCell ref="C17:C21"/>
    <mergeCell ref="C3:C1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V193"/>
  <sheetViews>
    <sheetView zoomScale="85" zoomScaleNormal="85" workbookViewId="0">
      <pane xSplit="4" ySplit="3" topLeftCell="E10" activePane="bottomRight" state="frozen"/>
      <selection pane="topRight" activeCell="E1" sqref="E1"/>
      <selection pane="bottomLeft" activeCell="A2" sqref="A2"/>
      <selection pane="bottomRight" activeCell="E36" sqref="E36"/>
    </sheetView>
  </sheetViews>
  <sheetFormatPr defaultColWidth="9.140625" defaultRowHeight="15" x14ac:dyDescent="0.25"/>
  <cols>
    <col min="1" max="1" width="13" style="1" customWidth="1"/>
    <col min="2" max="2" width="9.140625" style="1"/>
    <col min="3" max="3" width="9.85546875" style="1" customWidth="1"/>
    <col min="4" max="4" width="47.85546875" style="3" customWidth="1"/>
    <col min="5" max="5" width="16.5703125" style="3" customWidth="1"/>
    <col min="6" max="6" width="15.28515625" style="3" customWidth="1"/>
    <col min="7" max="7" width="13.28515625" style="3" customWidth="1"/>
    <col min="8" max="8" width="19.7109375" style="3" customWidth="1"/>
    <col min="9" max="9" width="12.42578125" style="44" customWidth="1"/>
    <col min="10" max="10" width="14" style="1" customWidth="1"/>
    <col min="11" max="12" width="16.7109375" style="1" customWidth="1"/>
    <col min="13" max="13" width="14.7109375" style="3" customWidth="1"/>
    <col min="14" max="14" width="16.7109375" style="1" customWidth="1"/>
    <col min="15" max="16" width="15.28515625" style="1" customWidth="1"/>
    <col min="17" max="17" width="10.42578125" style="1" customWidth="1"/>
    <col min="18" max="18" width="11" style="3" customWidth="1"/>
    <col min="19" max="20" width="13" style="1" customWidth="1"/>
    <col min="21" max="22" width="15" style="1" customWidth="1"/>
    <col min="23" max="25" width="9.140625" style="3" customWidth="1"/>
    <col min="26" max="26" width="11.140625" style="1" customWidth="1"/>
    <col min="27" max="29" width="14" style="1" customWidth="1"/>
    <col min="30" max="30" width="11.42578125" style="3" customWidth="1"/>
    <col min="31" max="31" width="11.42578125" style="44" customWidth="1"/>
    <col min="32" max="32" width="10.85546875" style="3" customWidth="1"/>
    <col min="33" max="35" width="9.140625" style="3" customWidth="1"/>
    <col min="36" max="36" width="14" style="3" customWidth="1"/>
    <col min="37" max="37" width="12.5703125" style="3" customWidth="1"/>
    <col min="38" max="38" width="15.5703125" style="950" customWidth="1"/>
    <col min="39" max="39" width="11.140625" style="44" customWidth="1"/>
    <col min="40" max="43" width="10.28515625" style="49" customWidth="1"/>
    <col min="44" max="44" width="14.85546875" style="3" customWidth="1"/>
    <col min="45" max="45" width="11.42578125" style="3" customWidth="1"/>
    <col min="46" max="16384" width="9.140625" style="3"/>
  </cols>
  <sheetData>
    <row r="1" spans="1:48" s="49" customFormat="1" x14ac:dyDescent="0.25">
      <c r="A1" s="515">
        <v>1</v>
      </c>
      <c r="B1" s="516">
        <v>2</v>
      </c>
      <c r="C1" s="516">
        <v>3</v>
      </c>
      <c r="D1" s="517">
        <v>4</v>
      </c>
      <c r="E1" s="518">
        <v>5</v>
      </c>
      <c r="F1" s="516">
        <v>6</v>
      </c>
      <c r="G1" s="516">
        <v>7</v>
      </c>
      <c r="H1" s="516">
        <v>8</v>
      </c>
      <c r="I1" s="517">
        <v>9</v>
      </c>
      <c r="J1" s="434">
        <v>10</v>
      </c>
      <c r="K1" s="519">
        <v>11</v>
      </c>
      <c r="L1" s="519">
        <v>12</v>
      </c>
      <c r="M1" s="519">
        <v>13</v>
      </c>
      <c r="N1" s="519">
        <v>14</v>
      </c>
      <c r="O1" s="519">
        <v>15</v>
      </c>
      <c r="P1" s="520">
        <v>16</v>
      </c>
      <c r="Q1" s="518">
        <v>17</v>
      </c>
      <c r="R1" s="521">
        <v>18</v>
      </c>
      <c r="S1" s="516">
        <v>19</v>
      </c>
      <c r="T1" s="516">
        <v>20</v>
      </c>
      <c r="U1" s="516">
        <v>21</v>
      </c>
      <c r="V1" s="517">
        <v>22</v>
      </c>
      <c r="W1" s="434">
        <v>23</v>
      </c>
      <c r="X1" s="519">
        <v>24</v>
      </c>
      <c r="Y1" s="519">
        <v>25</v>
      </c>
      <c r="Z1" s="433">
        <v>26</v>
      </c>
      <c r="AA1" s="519">
        <v>27</v>
      </c>
      <c r="AB1" s="519">
        <v>28</v>
      </c>
      <c r="AC1" s="519">
        <v>29</v>
      </c>
      <c r="AD1" s="519">
        <v>30</v>
      </c>
      <c r="AE1" s="520">
        <v>31</v>
      </c>
      <c r="AF1" s="434">
        <v>32</v>
      </c>
      <c r="AG1" s="519">
        <v>33</v>
      </c>
      <c r="AH1" s="519">
        <v>34</v>
      </c>
      <c r="AI1" s="519">
        <v>35</v>
      </c>
      <c r="AJ1" s="519">
        <v>36</v>
      </c>
      <c r="AK1" s="519">
        <v>37</v>
      </c>
      <c r="AL1" s="945">
        <v>38</v>
      </c>
      <c r="AM1" s="434">
        <v>39</v>
      </c>
      <c r="AN1" s="519">
        <v>40</v>
      </c>
      <c r="AO1" s="519">
        <v>41</v>
      </c>
      <c r="AP1" s="519">
        <v>42</v>
      </c>
      <c r="AQ1" s="519">
        <v>43</v>
      </c>
      <c r="AR1" s="519">
        <v>44</v>
      </c>
      <c r="AS1" s="520">
        <v>45</v>
      </c>
      <c r="AT1" s="947">
        <v>46</v>
      </c>
      <c r="AU1" s="49">
        <v>47</v>
      </c>
    </row>
    <row r="2" spans="1:48" s="49" customFormat="1" x14ac:dyDescent="0.25">
      <c r="A2" s="1279" t="s">
        <v>859</v>
      </c>
      <c r="B2" s="1280"/>
      <c r="C2" s="1280"/>
      <c r="D2" s="1281"/>
      <c r="E2" s="1276" t="s">
        <v>767</v>
      </c>
      <c r="F2" s="1277"/>
      <c r="G2" s="1277"/>
      <c r="H2" s="1277"/>
      <c r="I2" s="1278"/>
      <c r="J2" s="1282" t="s">
        <v>768</v>
      </c>
      <c r="K2" s="1283"/>
      <c r="L2" s="1283"/>
      <c r="M2" s="1283"/>
      <c r="N2" s="1283"/>
      <c r="O2" s="1283"/>
      <c r="P2" s="1284"/>
      <c r="Q2" s="1285" t="s">
        <v>769</v>
      </c>
      <c r="R2" s="1286"/>
      <c r="S2" s="1286"/>
      <c r="T2" s="1286"/>
      <c r="U2" s="1286"/>
      <c r="V2" s="1287"/>
      <c r="W2" s="1288" t="s">
        <v>770</v>
      </c>
      <c r="X2" s="1289"/>
      <c r="Y2" s="1289"/>
      <c r="Z2" s="1289"/>
      <c r="AA2" s="1289"/>
      <c r="AB2" s="1289"/>
      <c r="AC2" s="1289"/>
      <c r="AD2" s="1289"/>
      <c r="AE2" s="1290"/>
      <c r="AF2" s="1271" t="s">
        <v>771</v>
      </c>
      <c r="AG2" s="1272"/>
      <c r="AH2" s="1272"/>
      <c r="AI2" s="1272"/>
      <c r="AJ2" s="1272"/>
      <c r="AK2" s="1272"/>
      <c r="AL2" s="1272"/>
      <c r="AM2" s="1273" t="s">
        <v>772</v>
      </c>
      <c r="AN2" s="1274"/>
      <c r="AO2" s="1274"/>
      <c r="AP2" s="1274"/>
      <c r="AQ2" s="1274"/>
      <c r="AR2" s="1274"/>
      <c r="AS2" s="1275"/>
      <c r="AT2" s="949"/>
    </row>
    <row r="3" spans="1:48" s="45" customFormat="1" ht="60.75" thickBot="1" x14ac:dyDescent="0.3">
      <c r="A3" s="639" t="s">
        <v>44</v>
      </c>
      <c r="B3" s="640" t="s">
        <v>94</v>
      </c>
      <c r="C3" s="638" t="s">
        <v>765</v>
      </c>
      <c r="D3" s="641" t="s">
        <v>126</v>
      </c>
      <c r="E3" s="637" t="s">
        <v>95</v>
      </c>
      <c r="F3" s="638" t="s">
        <v>764</v>
      </c>
      <c r="G3" s="638" t="s">
        <v>376</v>
      </c>
      <c r="H3" s="638" t="s">
        <v>1112</v>
      </c>
      <c r="I3" s="736" t="s">
        <v>978</v>
      </c>
      <c r="J3" s="642" t="s">
        <v>246</v>
      </c>
      <c r="K3" s="643" t="s">
        <v>858</v>
      </c>
      <c r="L3" s="643" t="s">
        <v>244</v>
      </c>
      <c r="M3" s="343" t="s">
        <v>324</v>
      </c>
      <c r="N3" s="46" t="s">
        <v>202</v>
      </c>
      <c r="O3" s="43" t="s">
        <v>618</v>
      </c>
      <c r="P3" s="344" t="s">
        <v>1136</v>
      </c>
      <c r="Q3" s="432" t="s">
        <v>245</v>
      </c>
      <c r="R3" s="643" t="s">
        <v>1166</v>
      </c>
      <c r="S3" s="43" t="s">
        <v>255</v>
      </c>
      <c r="T3" s="43" t="s">
        <v>256</v>
      </c>
      <c r="U3" s="43" t="s">
        <v>441</v>
      </c>
      <c r="V3" s="344" t="s">
        <v>1167</v>
      </c>
      <c r="W3" s="718" t="s">
        <v>431</v>
      </c>
      <c r="X3" s="645" t="s">
        <v>432</v>
      </c>
      <c r="Y3" s="645" t="s">
        <v>1168</v>
      </c>
      <c r="Z3" s="644" t="s">
        <v>433</v>
      </c>
      <c r="AA3" s="645" t="s">
        <v>140</v>
      </c>
      <c r="AB3" s="645" t="s">
        <v>141</v>
      </c>
      <c r="AC3" s="645" t="s">
        <v>145</v>
      </c>
      <c r="AD3" s="645" t="s">
        <v>340</v>
      </c>
      <c r="AE3" s="646"/>
      <c r="AF3" s="346" t="s">
        <v>382</v>
      </c>
      <c r="AG3" s="43" t="s">
        <v>383</v>
      </c>
      <c r="AH3" s="973" t="s">
        <v>519</v>
      </c>
      <c r="AI3" s="43" t="s">
        <v>414</v>
      </c>
      <c r="AJ3" s="43" t="s">
        <v>435</v>
      </c>
      <c r="AK3" s="43" t="s">
        <v>468</v>
      </c>
      <c r="AL3" s="946" t="s">
        <v>1054</v>
      </c>
      <c r="AM3" s="346" t="s">
        <v>1093</v>
      </c>
      <c r="AN3" s="43" t="s">
        <v>448</v>
      </c>
      <c r="AO3" s="43" t="s">
        <v>948</v>
      </c>
      <c r="AP3" s="43" t="s">
        <v>962</v>
      </c>
      <c r="AQ3" s="43" t="s">
        <v>961</v>
      </c>
      <c r="AR3" s="43" t="s">
        <v>980</v>
      </c>
      <c r="AS3" s="344" t="s">
        <v>1084</v>
      </c>
      <c r="AT3" s="948" t="s">
        <v>1008</v>
      </c>
      <c r="AU3" s="948" t="s">
        <v>1176</v>
      </c>
    </row>
    <row r="4" spans="1:48" s="45" customFormat="1" ht="15.75" thickTop="1" x14ac:dyDescent="0.25">
      <c r="A4" s="589" t="s">
        <v>228</v>
      </c>
      <c r="B4" s="588" t="s">
        <v>257</v>
      </c>
      <c r="C4" s="524" t="s">
        <v>498</v>
      </c>
      <c r="D4" s="525" t="s">
        <v>96</v>
      </c>
      <c r="E4" s="526" t="s">
        <v>128</v>
      </c>
      <c r="F4" s="336" t="s">
        <v>127</v>
      </c>
      <c r="G4" s="12" t="s">
        <v>378</v>
      </c>
      <c r="H4" s="12" t="s">
        <v>1116</v>
      </c>
      <c r="I4" s="349" t="s">
        <v>377</v>
      </c>
      <c r="J4" s="740">
        <f>VLOOKUP($A4,'Tower configuration'!$A$4:$Q$51,15,FALSE)</f>
        <v>127</v>
      </c>
      <c r="K4" s="741" t="str">
        <f>VLOOKUP($A4,'Tower configuration'!$A$4:$Q$51,16,FALSE)</f>
        <v>Guyed</v>
      </c>
      <c r="L4" s="741">
        <f>VLOOKUP($A4,'Tower configuration'!$A$4:$Q$51,17,FALSE)</f>
        <v>11</v>
      </c>
      <c r="M4" s="527" t="str">
        <f>VLOOKUP(A4,'Tower configuration'!$A$4:$DM$51,20,FALSE)</f>
        <v>Standard</v>
      </c>
      <c r="N4" s="527" t="str">
        <f>VLOOKUP(A4,'Tower configuration'!$A$4:$DM$51,21,FALSE)</f>
        <v>Standard</v>
      </c>
      <c r="O4" s="12">
        <v>0</v>
      </c>
      <c r="P4" s="349" t="s">
        <v>378</v>
      </c>
      <c r="Q4" s="776">
        <f>VLOOKUP($A4,'Tower configuration'!$A$3:$DM$51,5,FALSE)</f>
        <v>6</v>
      </c>
      <c r="R4" s="12" t="s">
        <v>1169</v>
      </c>
      <c r="S4" s="12">
        <v>2</v>
      </c>
      <c r="T4" s="12">
        <v>5</v>
      </c>
      <c r="U4" s="528">
        <v>7</v>
      </c>
      <c r="V4" s="529" t="str">
        <f t="shared" ref="V4:V51" si="0">IF(X4&lt;&gt;"",IF(X4=Y4,"Combined", "Split"),"")</f>
        <v>Combined</v>
      </c>
      <c r="W4" s="348" t="s">
        <v>428</v>
      </c>
      <c r="X4" s="12" t="s">
        <v>429</v>
      </c>
      <c r="Y4" s="12" t="s">
        <v>429</v>
      </c>
      <c r="Z4" s="764" t="str">
        <f t="shared" ref="Z4:Z33" si="1">IF(AC4="D",
             "C",
               IF(AC4="C",
                        IF(OR(RIGHT(W4,1)="D",RIGHT(X4,1)="D",RIGHT(Y4,1)="D"),
                                  "A",
                                   "D"),
                        "")
)</f>
        <v>D</v>
      </c>
      <c r="AA4" s="12" t="s">
        <v>249</v>
      </c>
      <c r="AB4" s="12" t="s">
        <v>247</v>
      </c>
      <c r="AC4" s="12" t="s">
        <v>146</v>
      </c>
      <c r="AD4" s="741" t="str">
        <f t="shared" ref="AD4:AD33" si="2" xml:space="preserve"> IF(OR(X4="BA",
                X4="AD",
                X4="DC",
                X4="CB"),
                         "Right",
                      IF(OR(X4="AB",
                            X4="BC",
                            X4="CD",
                            X4="DA"),
                         "Left",""))</f>
        <v>Right</v>
      </c>
      <c r="AE4" s="349"/>
      <c r="AF4" s="348" t="s">
        <v>378</v>
      </c>
      <c r="AG4" s="12" t="s">
        <v>377</v>
      </c>
      <c r="AH4" s="974" t="s">
        <v>378</v>
      </c>
      <c r="AI4" s="12" t="s">
        <v>377</v>
      </c>
      <c r="AJ4" s="12">
        <v>42</v>
      </c>
      <c r="AK4" s="15" t="s">
        <v>203</v>
      </c>
      <c r="AL4" s="1077"/>
      <c r="AM4" s="348">
        <v>5</v>
      </c>
      <c r="AN4" s="12">
        <v>3</v>
      </c>
      <c r="AO4" s="12" t="s">
        <v>378</v>
      </c>
      <c r="AP4" s="12" t="s">
        <v>963</v>
      </c>
      <c r="AQ4" s="1083">
        <v>5</v>
      </c>
      <c r="AR4" s="12" t="s">
        <v>378</v>
      </c>
      <c r="AS4" s="938" t="s">
        <v>378</v>
      </c>
      <c r="AT4" s="349" t="s">
        <v>1009</v>
      </c>
      <c r="AU4" s="351" t="s">
        <v>378</v>
      </c>
    </row>
    <row r="5" spans="1:48" s="45" customFormat="1" ht="15.75" thickBot="1" x14ac:dyDescent="0.3">
      <c r="A5" s="530" t="s">
        <v>206</v>
      </c>
      <c r="B5" s="523" t="s">
        <v>257</v>
      </c>
      <c r="C5" s="11" t="s">
        <v>498</v>
      </c>
      <c r="D5" s="531" t="s">
        <v>97</v>
      </c>
      <c r="E5" s="532" t="s">
        <v>129</v>
      </c>
      <c r="F5" s="335" t="s">
        <v>127</v>
      </c>
      <c r="G5" s="11" t="s">
        <v>378</v>
      </c>
      <c r="H5" s="11" t="s">
        <v>1115</v>
      </c>
      <c r="I5" s="351" t="s">
        <v>378</v>
      </c>
      <c r="J5" s="742">
        <f>VLOOKUP($A5,'Tower configuration'!$A$4:$Q$51,15,FALSE)</f>
        <v>116</v>
      </c>
      <c r="K5" s="743" t="str">
        <f>VLOOKUP($A5,'Tower configuration'!$A$4:$Q$51,16,FALSE)</f>
        <v>Guyed</v>
      </c>
      <c r="L5" s="743">
        <f>VLOOKUP($A5,'Tower configuration'!$A$4:$Q$51,17,FALSE)</f>
        <v>10</v>
      </c>
      <c r="M5" s="527" t="str">
        <f>VLOOKUP(A5,'Tower configuration'!$A$4:$DM$51,20,FALSE)</f>
        <v>Standard</v>
      </c>
      <c r="N5" s="527" t="str">
        <f>VLOOKUP(A5,'Tower configuration'!$A$4:$DM$51,21,FALSE)</f>
        <v>Standard</v>
      </c>
      <c r="O5" s="11">
        <v>0</v>
      </c>
      <c r="P5" s="353" t="s">
        <v>378</v>
      </c>
      <c r="Q5" s="777">
        <f>VLOOKUP($A5,'Tower configuration'!$A$3:$DM$51,5,FALSE)</f>
        <v>6</v>
      </c>
      <c r="R5" s="11" t="s">
        <v>1170</v>
      </c>
      <c r="S5" s="11">
        <v>1</v>
      </c>
      <c r="T5" s="11">
        <v>5</v>
      </c>
      <c r="U5" s="534">
        <v>6</v>
      </c>
      <c r="V5" s="535" t="str">
        <f t="shared" si="0"/>
        <v>Combined</v>
      </c>
      <c r="W5" s="350" t="s">
        <v>428</v>
      </c>
      <c r="X5" s="11" t="s">
        <v>429</v>
      </c>
      <c r="Y5" s="11" t="s">
        <v>429</v>
      </c>
      <c r="Z5" s="765" t="str">
        <f t="shared" si="1"/>
        <v>D</v>
      </c>
      <c r="AA5" s="11" t="s">
        <v>249</v>
      </c>
      <c r="AB5" s="11" t="s">
        <v>247</v>
      </c>
      <c r="AC5" s="11" t="s">
        <v>146</v>
      </c>
      <c r="AD5" s="743" t="str">
        <f t="shared" si="2"/>
        <v>Right</v>
      </c>
      <c r="AE5" s="351"/>
      <c r="AF5" s="350" t="s">
        <v>378</v>
      </c>
      <c r="AG5" s="11" t="s">
        <v>377</v>
      </c>
      <c r="AH5" s="975" t="s">
        <v>378</v>
      </c>
      <c r="AI5" s="11" t="s">
        <v>378</v>
      </c>
      <c r="AJ5" s="11">
        <v>42</v>
      </c>
      <c r="AK5" s="13" t="s">
        <v>203</v>
      </c>
      <c r="AL5" s="1078"/>
      <c r="AM5" s="350">
        <v>4</v>
      </c>
      <c r="AN5" s="11">
        <v>3</v>
      </c>
      <c r="AO5" s="11" t="s">
        <v>378</v>
      </c>
      <c r="AP5" s="11" t="s">
        <v>963</v>
      </c>
      <c r="AQ5" s="11">
        <v>5</v>
      </c>
      <c r="AR5" s="11" t="s">
        <v>378</v>
      </c>
      <c r="AS5" s="351" t="s">
        <v>378</v>
      </c>
      <c r="AT5" s="351" t="s">
        <v>981</v>
      </c>
      <c r="AU5" s="353" t="s">
        <v>378</v>
      </c>
      <c r="AV5" s="951"/>
    </row>
    <row r="6" spans="1:48" s="45" customFormat="1" x14ac:dyDescent="0.25">
      <c r="A6" s="515" t="s">
        <v>98</v>
      </c>
      <c r="B6" s="516" t="s">
        <v>258</v>
      </c>
      <c r="C6" s="547" t="s">
        <v>498</v>
      </c>
      <c r="D6" s="548" t="s">
        <v>867</v>
      </c>
      <c r="E6" s="549" t="s">
        <v>128</v>
      </c>
      <c r="F6" s="550" t="s">
        <v>127</v>
      </c>
      <c r="G6" s="551" t="s">
        <v>378</v>
      </c>
      <c r="H6" s="551" t="s">
        <v>1116</v>
      </c>
      <c r="I6" s="552" t="s">
        <v>377</v>
      </c>
      <c r="J6" s="746">
        <f>VLOOKUP($A6,'Tower configuration'!$A$4:$Q$51,15,FALSE)</f>
        <v>171</v>
      </c>
      <c r="K6" s="747" t="str">
        <f>VLOOKUP($A6,'Tower configuration'!$A$4:$Q$51,16,FALSE)</f>
        <v>Guyed</v>
      </c>
      <c r="L6" s="747">
        <f>VLOOKUP($A6,'Tower configuration'!$A$4:$Q$51,17,FALSE)</f>
        <v>15</v>
      </c>
      <c r="M6" s="553" t="str">
        <f>VLOOKUP(A6,'Tower configuration'!$A$4:$DM$51,20,FALSE)</f>
        <v>Standard</v>
      </c>
      <c r="N6" s="553" t="str">
        <f>VLOOKUP(A6,'Tower configuration'!$A$4:$DM$51,21,FALSE)</f>
        <v>Standard</v>
      </c>
      <c r="O6" s="551">
        <v>0</v>
      </c>
      <c r="P6" s="349" t="s">
        <v>378</v>
      </c>
      <c r="Q6" s="779">
        <f>VLOOKUP($A6,'Tower configuration'!$A$3:$DM$51,5,FALSE)</f>
        <v>6</v>
      </c>
      <c r="R6" s="551" t="s">
        <v>1169</v>
      </c>
      <c r="S6" s="551">
        <v>2</v>
      </c>
      <c r="T6" s="551">
        <v>5</v>
      </c>
      <c r="U6" s="555">
        <v>9</v>
      </c>
      <c r="V6" s="556" t="str">
        <f t="shared" si="0"/>
        <v>Combined</v>
      </c>
      <c r="W6" s="436" t="s">
        <v>428</v>
      </c>
      <c r="X6" s="551" t="s">
        <v>429</v>
      </c>
      <c r="Y6" s="551" t="s">
        <v>429</v>
      </c>
      <c r="Z6" s="767" t="str">
        <f t="shared" si="1"/>
        <v>D</v>
      </c>
      <c r="AA6" s="551" t="s">
        <v>249</v>
      </c>
      <c r="AB6" s="551" t="s">
        <v>247</v>
      </c>
      <c r="AC6" s="551" t="s">
        <v>146</v>
      </c>
      <c r="AD6" s="747" t="str">
        <f t="shared" si="2"/>
        <v>Right</v>
      </c>
      <c r="AE6" s="552"/>
      <c r="AF6" s="436" t="s">
        <v>378</v>
      </c>
      <c r="AG6" s="551" t="s">
        <v>377</v>
      </c>
      <c r="AH6" s="977" t="s">
        <v>378</v>
      </c>
      <c r="AI6" s="551" t="s">
        <v>377</v>
      </c>
      <c r="AJ6" s="551">
        <v>42</v>
      </c>
      <c r="AK6" s="557" t="s">
        <v>203</v>
      </c>
      <c r="AL6" s="1079"/>
      <c r="AM6" s="436">
        <v>5</v>
      </c>
      <c r="AN6" s="551">
        <v>3</v>
      </c>
      <c r="AO6" s="551" t="s">
        <v>378</v>
      </c>
      <c r="AP6" s="551" t="s">
        <v>963</v>
      </c>
      <c r="AQ6" s="551">
        <v>5</v>
      </c>
      <c r="AR6" s="551" t="s">
        <v>377</v>
      </c>
      <c r="AS6" s="552" t="s">
        <v>378</v>
      </c>
      <c r="AT6" s="552" t="s">
        <v>1010</v>
      </c>
      <c r="AU6" s="552" t="s">
        <v>378</v>
      </c>
      <c r="AV6" s="951"/>
    </row>
    <row r="7" spans="1:48" s="45" customFormat="1" ht="15" customHeight="1" x14ac:dyDescent="0.25">
      <c r="A7" s="530" t="s">
        <v>137</v>
      </c>
      <c r="B7" s="522" t="s">
        <v>258</v>
      </c>
      <c r="C7" s="11" t="s">
        <v>502</v>
      </c>
      <c r="D7" s="531" t="s">
        <v>406</v>
      </c>
      <c r="E7" s="532" t="s">
        <v>129</v>
      </c>
      <c r="F7" s="335" t="s">
        <v>127</v>
      </c>
      <c r="G7" s="11" t="s">
        <v>378</v>
      </c>
      <c r="H7" s="11" t="s">
        <v>1115</v>
      </c>
      <c r="I7" s="351" t="s">
        <v>378</v>
      </c>
      <c r="J7" s="742">
        <f>VLOOKUP($A7,'Tower configuration'!$A$4:$Q$51,15,FALSE)</f>
        <v>204</v>
      </c>
      <c r="K7" s="743" t="str">
        <f>VLOOKUP($A7,'Tower configuration'!$A$4:$Q$51,16,FALSE)</f>
        <v>Guyed</v>
      </c>
      <c r="L7" s="743">
        <f>VLOOKUP($A7,'Tower configuration'!$A$4:$Q$51,17,FALSE)</f>
        <v>18</v>
      </c>
      <c r="M7" s="527" t="str">
        <f>VLOOKUP(A7,'Tower configuration'!$A$4:$DM$51,20,FALSE)</f>
        <v>Heavy</v>
      </c>
      <c r="N7" s="527" t="str">
        <f>VLOOKUP(A7,'Tower configuration'!$A$4:$DM$51,21,FALSE)</f>
        <v>Heavy</v>
      </c>
      <c r="O7" s="11">
        <v>5</v>
      </c>
      <c r="P7" s="351" t="s">
        <v>1138</v>
      </c>
      <c r="Q7" s="777">
        <f>VLOOKUP($A7,'Tower configuration'!$A$3:$DM$51,5,FALSE)</f>
        <v>6</v>
      </c>
      <c r="R7" s="11" t="s">
        <v>1170</v>
      </c>
      <c r="S7" s="11">
        <v>2</v>
      </c>
      <c r="T7" s="11">
        <v>5</v>
      </c>
      <c r="U7" s="534">
        <v>9</v>
      </c>
      <c r="V7" s="535" t="str">
        <f t="shared" si="0"/>
        <v>Combined</v>
      </c>
      <c r="W7" s="350" t="s">
        <v>428</v>
      </c>
      <c r="X7" s="11" t="s">
        <v>429</v>
      </c>
      <c r="Y7" s="11" t="s">
        <v>429</v>
      </c>
      <c r="Z7" s="765" t="str">
        <f t="shared" si="1"/>
        <v>D</v>
      </c>
      <c r="AA7" s="11" t="s">
        <v>250</v>
      </c>
      <c r="AB7" s="11" t="s">
        <v>247</v>
      </c>
      <c r="AC7" s="11" t="s">
        <v>146</v>
      </c>
      <c r="AD7" s="743" t="str">
        <f t="shared" si="2"/>
        <v>Right</v>
      </c>
      <c r="AE7" s="351"/>
      <c r="AF7" s="350" t="s">
        <v>378</v>
      </c>
      <c r="AG7" s="11" t="s">
        <v>377</v>
      </c>
      <c r="AH7" s="975" t="s">
        <v>378</v>
      </c>
      <c r="AI7" s="11" t="s">
        <v>378</v>
      </c>
      <c r="AJ7" s="11">
        <v>42</v>
      </c>
      <c r="AK7" s="13" t="s">
        <v>203</v>
      </c>
      <c r="AL7" s="1078"/>
      <c r="AM7" s="350">
        <v>4</v>
      </c>
      <c r="AN7" s="11">
        <v>3</v>
      </c>
      <c r="AO7" s="11" t="s">
        <v>378</v>
      </c>
      <c r="AP7" s="11" t="s">
        <v>963</v>
      </c>
      <c r="AQ7" s="11">
        <v>5</v>
      </c>
      <c r="AR7" s="11" t="s">
        <v>377</v>
      </c>
      <c r="AS7" s="351" t="s">
        <v>378</v>
      </c>
      <c r="AT7" s="351" t="s">
        <v>983</v>
      </c>
      <c r="AU7" s="351" t="s">
        <v>378</v>
      </c>
      <c r="AV7" s="951"/>
    </row>
    <row r="8" spans="1:48" s="45" customFormat="1" ht="15.75" customHeight="1" thickBot="1" x14ac:dyDescent="0.3">
      <c r="A8" s="558" t="s">
        <v>207</v>
      </c>
      <c r="B8" s="559" t="s">
        <v>258</v>
      </c>
      <c r="C8" s="48" t="s">
        <v>499</v>
      </c>
      <c r="D8" s="560" t="s">
        <v>99</v>
      </c>
      <c r="E8" s="561" t="s">
        <v>129</v>
      </c>
      <c r="F8" s="337" t="s">
        <v>127</v>
      </c>
      <c r="G8" s="48" t="s">
        <v>378</v>
      </c>
      <c r="H8" s="48" t="s">
        <v>1115</v>
      </c>
      <c r="I8" s="353" t="s">
        <v>378</v>
      </c>
      <c r="J8" s="748">
        <f>VLOOKUP($A8,'Tower configuration'!$A$4:$Q$51,15,FALSE)</f>
        <v>26</v>
      </c>
      <c r="K8" s="749" t="str">
        <f>VLOOKUP($A8,'Tower configuration'!$A$4:$Q$51,16,FALSE)</f>
        <v>Self Supporting</v>
      </c>
      <c r="L8" s="749">
        <f>VLOOKUP($A8,'Tower configuration'!$A$4:$Q$51,17,FALSE)</f>
        <v>2</v>
      </c>
      <c r="M8" s="542" t="str">
        <f>VLOOKUP(A8,'Tower configuration'!$A$4:$DM$51,20,FALSE)</f>
        <v>Standard</v>
      </c>
      <c r="N8" s="542" t="str">
        <f>VLOOKUP(A8,'Tower configuration'!$A$4:$DM$51,21,FALSE)</f>
        <v>Standard</v>
      </c>
      <c r="O8" s="48">
        <v>2</v>
      </c>
      <c r="P8" s="353" t="s">
        <v>378</v>
      </c>
      <c r="Q8" s="780">
        <f>VLOOKUP($A8,'Tower configuration'!$A$3:$DM$51,5,FALSE)</f>
        <v>4</v>
      </c>
      <c r="R8" s="48" t="s">
        <v>1170</v>
      </c>
      <c r="S8" s="48">
        <v>1</v>
      </c>
      <c r="T8" s="48">
        <v>2</v>
      </c>
      <c r="U8" s="562">
        <v>3</v>
      </c>
      <c r="V8" s="563" t="str">
        <f t="shared" si="0"/>
        <v>Combined</v>
      </c>
      <c r="W8" s="352" t="s">
        <v>428</v>
      </c>
      <c r="X8" s="48" t="s">
        <v>429</v>
      </c>
      <c r="Y8" s="48" t="s">
        <v>429</v>
      </c>
      <c r="Z8" s="768" t="str">
        <f t="shared" si="1"/>
        <v>D</v>
      </c>
      <c r="AA8" s="48" t="s">
        <v>143</v>
      </c>
      <c r="AB8" s="48" t="s">
        <v>247</v>
      </c>
      <c r="AC8" s="48" t="s">
        <v>146</v>
      </c>
      <c r="AD8" s="749" t="str">
        <f t="shared" si="2"/>
        <v>Right</v>
      </c>
      <c r="AE8" s="353"/>
      <c r="AF8" s="352" t="s">
        <v>378</v>
      </c>
      <c r="AG8" s="48" t="s">
        <v>377</v>
      </c>
      <c r="AH8" s="978" t="s">
        <v>378</v>
      </c>
      <c r="AI8" s="48" t="s">
        <v>378</v>
      </c>
      <c r="AJ8" s="48">
        <v>42</v>
      </c>
      <c r="AK8" s="20" t="s">
        <v>203</v>
      </c>
      <c r="AL8" s="1080"/>
      <c r="AM8" s="352">
        <v>4</v>
      </c>
      <c r="AN8" s="48">
        <v>3</v>
      </c>
      <c r="AO8" s="48" t="s">
        <v>378</v>
      </c>
      <c r="AP8" s="48" t="s">
        <v>963</v>
      </c>
      <c r="AQ8" s="48">
        <v>5</v>
      </c>
      <c r="AR8" s="48" t="s">
        <v>377</v>
      </c>
      <c r="AS8" s="353" t="s">
        <v>378</v>
      </c>
      <c r="AT8" s="353" t="s">
        <v>982</v>
      </c>
      <c r="AU8" s="353" t="s">
        <v>378</v>
      </c>
      <c r="AV8" s="951"/>
    </row>
    <row r="9" spans="1:48" s="45" customFormat="1" ht="15" customHeight="1" x14ac:dyDescent="0.25">
      <c r="A9" s="515" t="s">
        <v>22</v>
      </c>
      <c r="B9" s="516" t="s">
        <v>259</v>
      </c>
      <c r="C9" s="512" t="s">
        <v>500</v>
      </c>
      <c r="D9" s="564" t="s">
        <v>100</v>
      </c>
      <c r="E9" s="549" t="s">
        <v>128</v>
      </c>
      <c r="F9" s="550" t="s">
        <v>130</v>
      </c>
      <c r="G9" s="551" t="s">
        <v>378</v>
      </c>
      <c r="H9" s="551" t="s">
        <v>1116</v>
      </c>
      <c r="I9" s="552" t="s">
        <v>377</v>
      </c>
      <c r="J9" s="746">
        <f>VLOOKUP($A9,'Tower configuration'!$A$4:$Q$51,15,FALSE)</f>
        <v>116</v>
      </c>
      <c r="K9" s="747" t="str">
        <f>VLOOKUP($A9,'Tower configuration'!$A$4:$Q$51,16,FALSE)</f>
        <v>Guyed</v>
      </c>
      <c r="L9" s="747">
        <f>VLOOKUP($A9,'Tower configuration'!$A$4:$Q$51,17,FALSE)</f>
        <v>10</v>
      </c>
      <c r="M9" s="553" t="str">
        <f>VLOOKUP(A9,'Tower configuration'!$A$4:$DM$51,20,FALSE)</f>
        <v>Standard</v>
      </c>
      <c r="N9" s="553" t="str">
        <f>VLOOKUP(A9,'Tower configuration'!$A$4:$DM$51,21,FALSE)</f>
        <v>Standard</v>
      </c>
      <c r="O9" s="551">
        <v>0</v>
      </c>
      <c r="P9" s="349" t="s">
        <v>378</v>
      </c>
      <c r="Q9" s="779">
        <f>VLOOKUP($A9,'Tower configuration'!$A$3:$DM$51,5,FALSE)</f>
        <v>6</v>
      </c>
      <c r="R9" s="551" t="s">
        <v>1170</v>
      </c>
      <c r="S9" s="551">
        <v>1</v>
      </c>
      <c r="T9" s="551">
        <v>3</v>
      </c>
      <c r="U9" s="555">
        <v>5</v>
      </c>
      <c r="V9" s="556" t="str">
        <f t="shared" si="0"/>
        <v>Combined</v>
      </c>
      <c r="W9" s="436" t="s">
        <v>430</v>
      </c>
      <c r="X9" s="551" t="s">
        <v>143</v>
      </c>
      <c r="Y9" s="551" t="s">
        <v>143</v>
      </c>
      <c r="Z9" s="767" t="str">
        <f t="shared" si="1"/>
        <v>C</v>
      </c>
      <c r="AA9" s="551" t="s">
        <v>250</v>
      </c>
      <c r="AB9" s="551" t="s">
        <v>247</v>
      </c>
      <c r="AC9" s="551" t="s">
        <v>147</v>
      </c>
      <c r="AD9" s="747" t="str">
        <f t="shared" si="2"/>
        <v>Left</v>
      </c>
      <c r="AE9" s="552"/>
      <c r="AF9" s="436" t="s">
        <v>378</v>
      </c>
      <c r="AG9" s="551" t="s">
        <v>377</v>
      </c>
      <c r="AH9" s="977" t="s">
        <v>378</v>
      </c>
      <c r="AI9" s="551" t="s">
        <v>377</v>
      </c>
      <c r="AJ9" s="551">
        <v>42</v>
      </c>
      <c r="AK9" s="557" t="s">
        <v>203</v>
      </c>
      <c r="AL9" s="1079"/>
      <c r="AM9" s="436">
        <v>5</v>
      </c>
      <c r="AN9" s="551">
        <v>3</v>
      </c>
      <c r="AO9" s="551" t="s">
        <v>378</v>
      </c>
      <c r="AP9" s="551" t="s">
        <v>963</v>
      </c>
      <c r="AQ9" s="551">
        <v>5</v>
      </c>
      <c r="AR9" s="551" t="s">
        <v>377</v>
      </c>
      <c r="AS9" s="552" t="s">
        <v>378</v>
      </c>
      <c r="AT9" s="552" t="s">
        <v>1011</v>
      </c>
      <c r="AU9" s="552" t="s">
        <v>378</v>
      </c>
      <c r="AV9" s="951"/>
    </row>
    <row r="10" spans="1:48" s="45" customFormat="1" ht="15" customHeight="1" thickBot="1" x14ac:dyDescent="0.3">
      <c r="A10" s="533" t="s">
        <v>132</v>
      </c>
      <c r="B10" s="522" t="s">
        <v>259</v>
      </c>
      <c r="C10" s="11" t="s">
        <v>499</v>
      </c>
      <c r="D10" s="531" t="s">
        <v>101</v>
      </c>
      <c r="E10" s="532" t="s">
        <v>129</v>
      </c>
      <c r="F10" s="335" t="s">
        <v>130</v>
      </c>
      <c r="G10" s="11" t="s">
        <v>378</v>
      </c>
      <c r="H10" s="11" t="s">
        <v>1115</v>
      </c>
      <c r="I10" s="351" t="s">
        <v>378</v>
      </c>
      <c r="J10" s="742">
        <f>VLOOKUP($A10,'Tower configuration'!$A$4:$Q$51,15,FALSE)</f>
        <v>26</v>
      </c>
      <c r="K10" s="743" t="str">
        <f>VLOOKUP($A10,'Tower configuration'!$A$4:$Q$51,16,FALSE)</f>
        <v>Self Supporting</v>
      </c>
      <c r="L10" s="743">
        <f>VLOOKUP($A10,'Tower configuration'!$A$4:$Q$51,17,FALSE)</f>
        <v>2</v>
      </c>
      <c r="M10" s="527" t="str">
        <f>VLOOKUP(A10,'Tower configuration'!$A$4:$DM$51,20,FALSE)</f>
        <v>Standard</v>
      </c>
      <c r="N10" s="527" t="str">
        <f>VLOOKUP(A10,'Tower configuration'!$A$4:$DM$51,21,FALSE)</f>
        <v>Standard</v>
      </c>
      <c r="O10" s="11">
        <v>0</v>
      </c>
      <c r="P10" s="351" t="s">
        <v>378</v>
      </c>
      <c r="Q10" s="777">
        <f>VLOOKUP($A10,'Tower configuration'!$A$3:$DM$51,5,FALSE)</f>
        <v>4</v>
      </c>
      <c r="R10" s="11" t="s">
        <v>1169</v>
      </c>
      <c r="S10" s="11">
        <v>1</v>
      </c>
      <c r="T10" s="11">
        <v>2</v>
      </c>
      <c r="U10" s="534">
        <v>3</v>
      </c>
      <c r="V10" s="535" t="str">
        <f t="shared" si="0"/>
        <v>Combined</v>
      </c>
      <c r="W10" s="350" t="s">
        <v>427</v>
      </c>
      <c r="X10" s="11" t="s">
        <v>429</v>
      </c>
      <c r="Y10" s="11" t="s">
        <v>429</v>
      </c>
      <c r="Z10" s="765" t="str">
        <f t="shared" si="1"/>
        <v>A</v>
      </c>
      <c r="AA10" s="11" t="s">
        <v>249</v>
      </c>
      <c r="AB10" s="11" t="s">
        <v>248</v>
      </c>
      <c r="AC10" s="11" t="s">
        <v>146</v>
      </c>
      <c r="AD10" s="743" t="str">
        <f t="shared" si="2"/>
        <v>Right</v>
      </c>
      <c r="AE10" s="351"/>
      <c r="AF10" s="350" t="s">
        <v>378</v>
      </c>
      <c r="AG10" s="11" t="s">
        <v>378</v>
      </c>
      <c r="AH10" s="975" t="s">
        <v>378</v>
      </c>
      <c r="AI10" s="11" t="s">
        <v>378</v>
      </c>
      <c r="AJ10" s="11">
        <v>42</v>
      </c>
      <c r="AK10" s="13" t="s">
        <v>203</v>
      </c>
      <c r="AL10" s="1078"/>
      <c r="AM10" s="350">
        <v>4</v>
      </c>
      <c r="AN10" s="11">
        <v>3</v>
      </c>
      <c r="AO10" s="11" t="s">
        <v>378</v>
      </c>
      <c r="AP10" s="11" t="s">
        <v>963</v>
      </c>
      <c r="AQ10" s="11">
        <v>5</v>
      </c>
      <c r="AR10" s="11" t="s">
        <v>377</v>
      </c>
      <c r="AS10" s="351" t="s">
        <v>378</v>
      </c>
      <c r="AT10" s="351" t="s">
        <v>984</v>
      </c>
      <c r="AU10" s="351" t="s">
        <v>378</v>
      </c>
      <c r="AV10" s="951"/>
    </row>
    <row r="11" spans="1:48" s="45" customFormat="1" ht="15.75" customHeight="1" thickBot="1" x14ac:dyDescent="0.3">
      <c r="A11" s="565" t="s">
        <v>133</v>
      </c>
      <c r="B11" s="559" t="s">
        <v>259</v>
      </c>
      <c r="C11" s="48" t="s">
        <v>499</v>
      </c>
      <c r="D11" s="560" t="s">
        <v>102</v>
      </c>
      <c r="E11" s="561" t="s">
        <v>129</v>
      </c>
      <c r="F11" s="337" t="s">
        <v>130</v>
      </c>
      <c r="G11" s="48" t="s">
        <v>378</v>
      </c>
      <c r="H11" s="48" t="s">
        <v>1115</v>
      </c>
      <c r="I11" s="353" t="s">
        <v>378</v>
      </c>
      <c r="J11" s="750">
        <f>VLOOKUP($A11,'Tower configuration'!$A$4:$Q$51,15,FALSE)</f>
        <v>138</v>
      </c>
      <c r="K11" s="751" t="str">
        <f>VLOOKUP($A11,'Tower configuration'!$A$4:$Q$51,16,FALSE)</f>
        <v>Guyed</v>
      </c>
      <c r="L11" s="751">
        <f>VLOOKUP($A11,'Tower configuration'!$A$4:$Q$51,17,FALSE)</f>
        <v>12</v>
      </c>
      <c r="M11" s="542" t="str">
        <f>VLOOKUP(A11,'Tower configuration'!$A$4:$DM$51,20,FALSE)</f>
        <v>Heavy</v>
      </c>
      <c r="N11" s="542" t="str">
        <f>VLOOKUP(A11,'Tower configuration'!$A$4:$DM$51,21,FALSE)</f>
        <v>Heavy</v>
      </c>
      <c r="O11" s="48">
        <v>2</v>
      </c>
      <c r="P11" s="353" t="s">
        <v>378</v>
      </c>
      <c r="Q11" s="780">
        <f>VLOOKUP($A11,'Tower configuration'!$A$3:$DM$51,5,FALSE)</f>
        <v>6</v>
      </c>
      <c r="R11" s="48" t="s">
        <v>1169</v>
      </c>
      <c r="S11" s="48">
        <v>2</v>
      </c>
      <c r="T11" s="48">
        <v>5</v>
      </c>
      <c r="U11" s="562">
        <v>7</v>
      </c>
      <c r="V11" s="563" t="str">
        <f t="shared" si="0"/>
        <v>Combined</v>
      </c>
      <c r="W11" s="352" t="s">
        <v>430</v>
      </c>
      <c r="X11" s="48" t="s">
        <v>143</v>
      </c>
      <c r="Y11" s="48" t="s">
        <v>143</v>
      </c>
      <c r="Z11" s="768" t="str">
        <f t="shared" si="1"/>
        <v>C</v>
      </c>
      <c r="AA11" s="48" t="s">
        <v>143</v>
      </c>
      <c r="AB11" s="48" t="s">
        <v>247</v>
      </c>
      <c r="AC11" s="48" t="s">
        <v>147</v>
      </c>
      <c r="AD11" s="749" t="str">
        <f t="shared" si="2"/>
        <v>Left</v>
      </c>
      <c r="AE11" s="353"/>
      <c r="AF11" s="352" t="s">
        <v>378</v>
      </c>
      <c r="AG11" s="48" t="s">
        <v>377</v>
      </c>
      <c r="AH11" s="978" t="s">
        <v>378</v>
      </c>
      <c r="AI11" s="48" t="s">
        <v>378</v>
      </c>
      <c r="AJ11" s="48">
        <v>42</v>
      </c>
      <c r="AK11" s="20" t="s">
        <v>203</v>
      </c>
      <c r="AL11" s="1080"/>
      <c r="AM11" s="352">
        <v>5</v>
      </c>
      <c r="AN11" s="48">
        <v>3</v>
      </c>
      <c r="AO11" s="48" t="s">
        <v>378</v>
      </c>
      <c r="AP11" s="48" t="s">
        <v>963</v>
      </c>
      <c r="AQ11" s="48">
        <v>5</v>
      </c>
      <c r="AR11" s="48" t="s">
        <v>377</v>
      </c>
      <c r="AS11" s="353" t="s">
        <v>378</v>
      </c>
      <c r="AT11" s="353" t="s">
        <v>985</v>
      </c>
      <c r="AU11" s="552" t="s">
        <v>378</v>
      </c>
      <c r="AV11" s="951"/>
    </row>
    <row r="12" spans="1:48" s="45" customFormat="1" ht="15" customHeight="1" x14ac:dyDescent="0.25">
      <c r="A12" s="515" t="s">
        <v>229</v>
      </c>
      <c r="B12" s="516" t="s">
        <v>260</v>
      </c>
      <c r="C12" s="512"/>
      <c r="D12" s="564" t="s">
        <v>103</v>
      </c>
      <c r="E12" s="549" t="s">
        <v>128</v>
      </c>
      <c r="F12" s="550" t="s">
        <v>130</v>
      </c>
      <c r="G12" s="551" t="s">
        <v>378</v>
      </c>
      <c r="H12" s="551" t="s">
        <v>1116</v>
      </c>
      <c r="I12" s="552" t="s">
        <v>377</v>
      </c>
      <c r="J12" s="746">
        <f>VLOOKUP($A12,'Tower configuration'!$A$4:$Q$51,15,FALSE)</f>
        <v>72</v>
      </c>
      <c r="K12" s="747" t="str">
        <f>VLOOKUP($A12,'Tower configuration'!$A$4:$Q$51,16,FALSE)</f>
        <v>Guyed</v>
      </c>
      <c r="L12" s="747">
        <f>VLOOKUP($A12,'Tower configuration'!$A$4:$Q$51,17,FALSE)</f>
        <v>6</v>
      </c>
      <c r="M12" s="553" t="str">
        <f>VLOOKUP(A12,'Tower configuration'!$A$4:$DM$51,20,FALSE)</f>
        <v>Standard</v>
      </c>
      <c r="N12" s="553" t="str">
        <f>VLOOKUP(A12,'Tower configuration'!$A$4:$DM$51,21,FALSE)</f>
        <v>Standard</v>
      </c>
      <c r="O12" s="551">
        <v>0</v>
      </c>
      <c r="P12" s="349" t="s">
        <v>378</v>
      </c>
      <c r="Q12" s="779">
        <f>VLOOKUP($A12,'Tower configuration'!$A$3:$DM$51,5,FALSE)</f>
        <v>5</v>
      </c>
      <c r="R12" s="551" t="s">
        <v>1169</v>
      </c>
      <c r="S12" s="551">
        <v>2</v>
      </c>
      <c r="T12" s="551">
        <v>3</v>
      </c>
      <c r="U12" s="555">
        <v>4</v>
      </c>
      <c r="V12" s="556" t="str">
        <f t="shared" si="0"/>
        <v>Combined</v>
      </c>
      <c r="W12" s="436" t="s">
        <v>427</v>
      </c>
      <c r="X12" s="551" t="s">
        <v>429</v>
      </c>
      <c r="Y12" s="551" t="s">
        <v>429</v>
      </c>
      <c r="Z12" s="767" t="str">
        <f t="shared" si="1"/>
        <v>A</v>
      </c>
      <c r="AA12" s="551" t="s">
        <v>249</v>
      </c>
      <c r="AB12" s="551" t="s">
        <v>248</v>
      </c>
      <c r="AC12" s="551" t="s">
        <v>146</v>
      </c>
      <c r="AD12" s="747" t="str">
        <f t="shared" si="2"/>
        <v>Right</v>
      </c>
      <c r="AE12" s="552"/>
      <c r="AF12" s="436" t="s">
        <v>378</v>
      </c>
      <c r="AG12" s="551" t="s">
        <v>377</v>
      </c>
      <c r="AH12" s="977" t="s">
        <v>378</v>
      </c>
      <c r="AI12" s="551" t="s">
        <v>377</v>
      </c>
      <c r="AJ12" s="551">
        <v>42</v>
      </c>
      <c r="AK12" s="557" t="s">
        <v>203</v>
      </c>
      <c r="AL12" s="1079"/>
      <c r="AM12" s="436">
        <v>5</v>
      </c>
      <c r="AN12" s="551">
        <v>3</v>
      </c>
      <c r="AO12" s="551" t="s">
        <v>378</v>
      </c>
      <c r="AP12" s="551" t="s">
        <v>963</v>
      </c>
      <c r="AQ12" s="551">
        <v>5</v>
      </c>
      <c r="AR12" s="551" t="s">
        <v>377</v>
      </c>
      <c r="AS12" s="552" t="s">
        <v>378</v>
      </c>
      <c r="AT12" s="552" t="s">
        <v>1012</v>
      </c>
      <c r="AU12" s="351" t="s">
        <v>378</v>
      </c>
      <c r="AV12" s="951"/>
    </row>
    <row r="13" spans="1:48" s="45" customFormat="1" ht="15.75" customHeight="1" thickBot="1" x14ac:dyDescent="0.3">
      <c r="A13" s="533" t="s">
        <v>208</v>
      </c>
      <c r="B13" s="522" t="s">
        <v>260</v>
      </c>
      <c r="C13" s="11" t="s">
        <v>497</v>
      </c>
      <c r="D13" s="531" t="s">
        <v>104</v>
      </c>
      <c r="E13" s="532" t="s">
        <v>129</v>
      </c>
      <c r="F13" s="335" t="s">
        <v>130</v>
      </c>
      <c r="G13" s="11" t="s">
        <v>378</v>
      </c>
      <c r="H13" s="11" t="s">
        <v>1115</v>
      </c>
      <c r="I13" s="351" t="s">
        <v>378</v>
      </c>
      <c r="J13" s="742">
        <f>VLOOKUP($A13,'Tower configuration'!$A$4:$Q$51,15,FALSE)</f>
        <v>26</v>
      </c>
      <c r="K13" s="743" t="str">
        <f>VLOOKUP($A13,'Tower configuration'!$A$4:$Q$51,16,FALSE)</f>
        <v>Self Supporting</v>
      </c>
      <c r="L13" s="743">
        <f>VLOOKUP($A13,'Tower configuration'!$A$4:$Q$51,17,FALSE)</f>
        <v>2</v>
      </c>
      <c r="M13" s="527" t="str">
        <f>VLOOKUP(A13,'Tower configuration'!$A$4:$DM$51,20,FALSE)</f>
        <v>Standard</v>
      </c>
      <c r="N13" s="527" t="str">
        <f>VLOOKUP(A13,'Tower configuration'!$A$4:$DM$51,21,FALSE)</f>
        <v>Standard</v>
      </c>
      <c r="O13" s="11">
        <v>0</v>
      </c>
      <c r="P13" s="353" t="s">
        <v>378</v>
      </c>
      <c r="Q13" s="777">
        <f>VLOOKUP($A13,'Tower configuration'!$A$3:$DM$51,5,FALSE)</f>
        <v>4</v>
      </c>
      <c r="R13" s="11" t="s">
        <v>1169</v>
      </c>
      <c r="S13" s="11">
        <v>1</v>
      </c>
      <c r="T13" s="11">
        <v>2</v>
      </c>
      <c r="U13" s="534">
        <v>3</v>
      </c>
      <c r="V13" s="535" t="str">
        <f t="shared" si="0"/>
        <v>Combined</v>
      </c>
      <c r="W13" s="350" t="s">
        <v>427</v>
      </c>
      <c r="X13" s="11" t="s">
        <v>429</v>
      </c>
      <c r="Y13" s="11" t="s">
        <v>429</v>
      </c>
      <c r="Z13" s="765" t="str">
        <f t="shared" si="1"/>
        <v>A</v>
      </c>
      <c r="AA13" s="11" t="s">
        <v>142</v>
      </c>
      <c r="AB13" s="11" t="s">
        <v>248</v>
      </c>
      <c r="AC13" s="11" t="s">
        <v>146</v>
      </c>
      <c r="AD13" s="743" t="str">
        <f t="shared" si="2"/>
        <v>Right</v>
      </c>
      <c r="AE13" s="351"/>
      <c r="AF13" s="350" t="s">
        <v>378</v>
      </c>
      <c r="AG13" s="11" t="s">
        <v>378</v>
      </c>
      <c r="AH13" s="975" t="s">
        <v>378</v>
      </c>
      <c r="AI13" s="11" t="s">
        <v>378</v>
      </c>
      <c r="AJ13" s="11">
        <v>42</v>
      </c>
      <c r="AK13" s="13" t="s">
        <v>203</v>
      </c>
      <c r="AL13" s="1078"/>
      <c r="AM13" s="350">
        <v>0</v>
      </c>
      <c r="AN13" s="11">
        <v>3</v>
      </c>
      <c r="AO13" s="11" t="s">
        <v>378</v>
      </c>
      <c r="AP13" s="11" t="s">
        <v>963</v>
      </c>
      <c r="AQ13" s="11">
        <v>5</v>
      </c>
      <c r="AR13" s="11" t="s">
        <v>377</v>
      </c>
      <c r="AS13" s="351" t="s">
        <v>378</v>
      </c>
      <c r="AT13" s="351" t="s">
        <v>986</v>
      </c>
      <c r="AU13" s="353" t="s">
        <v>377</v>
      </c>
      <c r="AV13" s="951"/>
    </row>
    <row r="14" spans="1:48" s="45" customFormat="1" x14ac:dyDescent="0.25">
      <c r="A14" s="515" t="s">
        <v>230</v>
      </c>
      <c r="B14" s="516" t="s">
        <v>261</v>
      </c>
      <c r="C14" s="512" t="s">
        <v>498</v>
      </c>
      <c r="D14" s="564" t="s">
        <v>105</v>
      </c>
      <c r="E14" s="549" t="s">
        <v>128</v>
      </c>
      <c r="F14" s="550" t="s">
        <v>127</v>
      </c>
      <c r="G14" s="551" t="s">
        <v>378</v>
      </c>
      <c r="H14" s="551" t="s">
        <v>1116</v>
      </c>
      <c r="I14" s="552" t="s">
        <v>377</v>
      </c>
      <c r="J14" s="746">
        <f>VLOOKUP($A14,'Tower configuration'!$A$4:$Q$51,15,FALSE)</f>
        <v>127</v>
      </c>
      <c r="K14" s="747" t="str">
        <f>VLOOKUP($A14,'Tower configuration'!$A$4:$Q$51,16,FALSE)</f>
        <v>Guyed</v>
      </c>
      <c r="L14" s="747">
        <f>VLOOKUP($A14,'Tower configuration'!$A$4:$Q$51,17,FALSE)</f>
        <v>11</v>
      </c>
      <c r="M14" s="553" t="str">
        <f>VLOOKUP(A14,'Tower configuration'!$A$4:$DM$51,20,FALSE)</f>
        <v>Standard</v>
      </c>
      <c r="N14" s="553" t="str">
        <f>VLOOKUP(A14,'Tower configuration'!$A$4:$DM$51,21,FALSE)</f>
        <v>Standard</v>
      </c>
      <c r="O14" s="551">
        <v>0</v>
      </c>
      <c r="P14" s="349" t="s">
        <v>378</v>
      </c>
      <c r="Q14" s="779">
        <f>VLOOKUP($A14,'Tower configuration'!$A$3:$DM$51,5,FALSE)</f>
        <v>6</v>
      </c>
      <c r="R14" s="551" t="s">
        <v>1170</v>
      </c>
      <c r="S14" s="551">
        <v>3</v>
      </c>
      <c r="T14" s="551">
        <v>5</v>
      </c>
      <c r="U14" s="555">
        <v>8</v>
      </c>
      <c r="V14" s="556" t="str">
        <f t="shared" si="0"/>
        <v>Combined</v>
      </c>
      <c r="W14" s="436" t="s">
        <v>428</v>
      </c>
      <c r="X14" s="551" t="s">
        <v>143</v>
      </c>
      <c r="Y14" s="551" t="s">
        <v>143</v>
      </c>
      <c r="Z14" s="767" t="str">
        <f t="shared" si="1"/>
        <v>D</v>
      </c>
      <c r="AA14" s="551" t="s">
        <v>250</v>
      </c>
      <c r="AB14" s="551" t="s">
        <v>247</v>
      </c>
      <c r="AC14" s="551" t="s">
        <v>146</v>
      </c>
      <c r="AD14" s="747" t="str">
        <f t="shared" si="2"/>
        <v>Left</v>
      </c>
      <c r="AE14" s="552"/>
      <c r="AF14" s="436" t="s">
        <v>378</v>
      </c>
      <c r="AG14" s="551" t="s">
        <v>377</v>
      </c>
      <c r="AH14" s="977" t="s">
        <v>378</v>
      </c>
      <c r="AI14" s="551" t="s">
        <v>377</v>
      </c>
      <c r="AJ14" s="551">
        <v>42</v>
      </c>
      <c r="AK14" s="557" t="s">
        <v>203</v>
      </c>
      <c r="AL14" s="1079"/>
      <c r="AM14" s="436">
        <v>5</v>
      </c>
      <c r="AN14" s="551">
        <v>3</v>
      </c>
      <c r="AO14" s="551" t="s">
        <v>378</v>
      </c>
      <c r="AP14" s="551" t="s">
        <v>963</v>
      </c>
      <c r="AQ14" s="551">
        <v>5</v>
      </c>
      <c r="AR14" s="551" t="s">
        <v>378</v>
      </c>
      <c r="AS14" s="552" t="s">
        <v>378</v>
      </c>
      <c r="AT14" s="552" t="s">
        <v>1013</v>
      </c>
      <c r="AU14" s="552" t="s">
        <v>378</v>
      </c>
      <c r="AV14" s="951"/>
    </row>
    <row r="15" spans="1:48" s="45" customFormat="1" ht="15" customHeight="1" x14ac:dyDescent="0.25">
      <c r="A15" s="530" t="s">
        <v>209</v>
      </c>
      <c r="B15" s="522" t="s">
        <v>261</v>
      </c>
      <c r="C15" s="11"/>
      <c r="D15" s="531" t="s">
        <v>873</v>
      </c>
      <c r="E15" s="532" t="s">
        <v>129</v>
      </c>
      <c r="F15" s="335" t="s">
        <v>127</v>
      </c>
      <c r="G15" s="11" t="s">
        <v>378</v>
      </c>
      <c r="H15" s="11" t="s">
        <v>1115</v>
      </c>
      <c r="I15" s="351" t="s">
        <v>378</v>
      </c>
      <c r="J15" s="742">
        <f>VLOOKUP($A15,'Tower configuration'!$A$4:$Q$51,15,FALSE)</f>
        <v>70</v>
      </c>
      <c r="K15" s="743" t="str">
        <f>VLOOKUP($A15,'Tower configuration'!$A$4:$Q$51,16,FALSE)</f>
        <v>Self Supporting</v>
      </c>
      <c r="L15" s="743">
        <f>VLOOKUP($A15,'Tower configuration'!$A$4:$Q$51,17,FALSE)</f>
        <v>6</v>
      </c>
      <c r="M15" s="527" t="str">
        <f>VLOOKUP(A15,'Tower configuration'!$A$4:$DM$51,20,FALSE)</f>
        <v>Heavy</v>
      </c>
      <c r="N15" s="527" t="str">
        <f>VLOOKUP(A15,'Tower configuration'!$A$4:$DM$51,21,FALSE)</f>
        <v>Heavy</v>
      </c>
      <c r="O15" s="11">
        <v>3</v>
      </c>
      <c r="P15" s="351" t="s">
        <v>378</v>
      </c>
      <c r="Q15" s="777">
        <f>VLOOKUP($A15,'Tower configuration'!$A$3:$DM$51,5,FALSE)</f>
        <v>6</v>
      </c>
      <c r="R15" s="11" t="s">
        <v>1170</v>
      </c>
      <c r="S15" s="11">
        <v>2</v>
      </c>
      <c r="T15" s="11">
        <v>3</v>
      </c>
      <c r="U15" s="534">
        <v>4</v>
      </c>
      <c r="V15" s="535" t="str">
        <f t="shared" si="0"/>
        <v>Combined</v>
      </c>
      <c r="W15" s="350" t="s">
        <v>428</v>
      </c>
      <c r="X15" s="11" t="s">
        <v>429</v>
      </c>
      <c r="Y15" s="11" t="s">
        <v>429</v>
      </c>
      <c r="Z15" s="765" t="str">
        <f t="shared" si="1"/>
        <v>D</v>
      </c>
      <c r="AA15" s="11" t="s">
        <v>143</v>
      </c>
      <c r="AB15" s="11" t="s">
        <v>247</v>
      </c>
      <c r="AC15" s="11" t="s">
        <v>146</v>
      </c>
      <c r="AD15" s="743" t="str">
        <f t="shared" si="2"/>
        <v>Right</v>
      </c>
      <c r="AE15" s="351"/>
      <c r="AF15" s="350" t="s">
        <v>378</v>
      </c>
      <c r="AG15" s="11" t="s">
        <v>377</v>
      </c>
      <c r="AH15" s="975" t="s">
        <v>378</v>
      </c>
      <c r="AI15" s="11" t="s">
        <v>378</v>
      </c>
      <c r="AJ15" s="11">
        <v>42</v>
      </c>
      <c r="AK15" s="13" t="s">
        <v>203</v>
      </c>
      <c r="AL15" s="1078"/>
      <c r="AM15" s="350">
        <v>4</v>
      </c>
      <c r="AN15" s="11">
        <v>3</v>
      </c>
      <c r="AO15" s="11" t="s">
        <v>378</v>
      </c>
      <c r="AP15" s="11" t="s">
        <v>963</v>
      </c>
      <c r="AQ15" s="11">
        <v>5</v>
      </c>
      <c r="AR15" s="11" t="s">
        <v>377</v>
      </c>
      <c r="AS15" s="351" t="s">
        <v>378</v>
      </c>
      <c r="AT15" s="351" t="s">
        <v>987</v>
      </c>
      <c r="AU15" s="351" t="s">
        <v>378</v>
      </c>
      <c r="AV15" s="951"/>
    </row>
    <row r="16" spans="1:48" s="45" customFormat="1" ht="15.75" customHeight="1" thickBot="1" x14ac:dyDescent="0.3">
      <c r="A16" s="565" t="s">
        <v>210</v>
      </c>
      <c r="B16" s="559" t="s">
        <v>261</v>
      </c>
      <c r="C16" s="48" t="s">
        <v>502</v>
      </c>
      <c r="D16" s="560" t="s">
        <v>144</v>
      </c>
      <c r="E16" s="561" t="s">
        <v>129</v>
      </c>
      <c r="F16" s="337" t="s">
        <v>127</v>
      </c>
      <c r="G16" s="48" t="s">
        <v>378</v>
      </c>
      <c r="H16" s="48" t="s">
        <v>1115</v>
      </c>
      <c r="I16" s="353" t="s">
        <v>378</v>
      </c>
      <c r="J16" s="748">
        <f>VLOOKUP($A16,'Tower configuration'!$A$4:$Q$51,15,FALSE)</f>
        <v>116</v>
      </c>
      <c r="K16" s="749" t="str">
        <f>VLOOKUP($A16,'Tower configuration'!$A$4:$Q$51,16,FALSE)</f>
        <v>Guyed</v>
      </c>
      <c r="L16" s="749">
        <f>VLOOKUP($A16,'Tower configuration'!$A$4:$Q$51,17,FALSE)</f>
        <v>10</v>
      </c>
      <c r="M16" s="542" t="str">
        <f>VLOOKUP(A16,'Tower configuration'!$A$4:$DM$51,20,FALSE)</f>
        <v>Standard</v>
      </c>
      <c r="N16" s="542" t="str">
        <f>VLOOKUP(A16,'Tower configuration'!$A$4:$DM$51,21,FALSE)</f>
        <v>Standard</v>
      </c>
      <c r="O16" s="48"/>
      <c r="P16" s="353" t="s">
        <v>378</v>
      </c>
      <c r="Q16" s="781">
        <f>VLOOKUP($A16,'Tower configuration'!$A$3:$DM$51,5,FALSE)</f>
        <v>6</v>
      </c>
      <c r="R16" s="48" t="s">
        <v>1170</v>
      </c>
      <c r="S16" s="48">
        <v>1</v>
      </c>
      <c r="T16" s="48">
        <v>3</v>
      </c>
      <c r="U16" s="562">
        <v>7</v>
      </c>
      <c r="V16" s="563" t="str">
        <f t="shared" si="0"/>
        <v>Combined</v>
      </c>
      <c r="W16" s="352" t="s">
        <v>428</v>
      </c>
      <c r="X16" s="48" t="s">
        <v>429</v>
      </c>
      <c r="Y16" s="48" t="s">
        <v>429</v>
      </c>
      <c r="Z16" s="768" t="str">
        <f t="shared" si="1"/>
        <v>D</v>
      </c>
      <c r="AA16" s="48" t="s">
        <v>143</v>
      </c>
      <c r="AB16" s="48" t="s">
        <v>247</v>
      </c>
      <c r="AC16" s="48" t="s">
        <v>146</v>
      </c>
      <c r="AD16" s="749" t="str">
        <f t="shared" si="2"/>
        <v>Right</v>
      </c>
      <c r="AE16" s="353"/>
      <c r="AF16" s="352" t="s">
        <v>378</v>
      </c>
      <c r="AG16" s="48" t="s">
        <v>378</v>
      </c>
      <c r="AH16" s="978" t="s">
        <v>378</v>
      </c>
      <c r="AI16" s="48" t="s">
        <v>378</v>
      </c>
      <c r="AJ16" s="48">
        <v>42</v>
      </c>
      <c r="AK16" s="20" t="s">
        <v>203</v>
      </c>
      <c r="AL16" s="1080"/>
      <c r="AM16" s="352">
        <v>4</v>
      </c>
      <c r="AN16" s="48">
        <v>3</v>
      </c>
      <c r="AO16" s="48" t="s">
        <v>378</v>
      </c>
      <c r="AP16" s="48" t="s">
        <v>963</v>
      </c>
      <c r="AQ16" s="48">
        <v>5</v>
      </c>
      <c r="AR16" s="48" t="s">
        <v>377</v>
      </c>
      <c r="AS16" s="353" t="s">
        <v>378</v>
      </c>
      <c r="AT16" s="353" t="s">
        <v>988</v>
      </c>
      <c r="AU16" s="353" t="s">
        <v>378</v>
      </c>
      <c r="AV16" s="951"/>
    </row>
    <row r="17" spans="1:48" s="45" customFormat="1" ht="15" customHeight="1" x14ac:dyDescent="0.25">
      <c r="A17" s="587" t="s">
        <v>231</v>
      </c>
      <c r="B17" s="516" t="s">
        <v>262</v>
      </c>
      <c r="C17" s="512" t="s">
        <v>501</v>
      </c>
      <c r="D17" s="564" t="s">
        <v>106</v>
      </c>
      <c r="E17" s="549" t="s">
        <v>128</v>
      </c>
      <c r="F17" s="550" t="s">
        <v>127</v>
      </c>
      <c r="G17" s="551" t="s">
        <v>378</v>
      </c>
      <c r="H17" s="551" t="s">
        <v>1114</v>
      </c>
      <c r="I17" s="552" t="s">
        <v>377</v>
      </c>
      <c r="J17" s="746">
        <f>VLOOKUP($A17,'Tower configuration'!$A$4:$Q$51,15,FALSE)</f>
        <v>26</v>
      </c>
      <c r="K17" s="747" t="str">
        <f>VLOOKUP($A17,'Tower configuration'!$A$4:$Q$51,16,FALSE)</f>
        <v>Self Supporting</v>
      </c>
      <c r="L17" s="747">
        <f>VLOOKUP($A17,'Tower configuration'!$A$4:$Q$51,17,FALSE)</f>
        <v>2</v>
      </c>
      <c r="M17" s="553" t="str">
        <f>VLOOKUP(A17,'Tower configuration'!$A$4:$DM$51,20,FALSE)</f>
        <v>Standard</v>
      </c>
      <c r="N17" s="553" t="str">
        <f>VLOOKUP(A17,'Tower configuration'!$A$4:$DM$51,21,FALSE)</f>
        <v>Standard</v>
      </c>
      <c r="O17" s="551">
        <v>0</v>
      </c>
      <c r="P17" s="349" t="s">
        <v>378</v>
      </c>
      <c r="Q17" s="779">
        <f>VLOOKUP($A17,'Tower configuration'!$A$3:$DM$51,5,FALSE)</f>
        <v>4</v>
      </c>
      <c r="R17" s="551" t="s">
        <v>1169</v>
      </c>
      <c r="S17" s="551">
        <v>1</v>
      </c>
      <c r="T17" s="551">
        <v>2</v>
      </c>
      <c r="U17" s="555">
        <v>3</v>
      </c>
      <c r="V17" s="556" t="str">
        <f t="shared" si="0"/>
        <v>Combined</v>
      </c>
      <c r="W17" s="436" t="s">
        <v>428</v>
      </c>
      <c r="X17" s="551" t="s">
        <v>429</v>
      </c>
      <c r="Y17" s="551" t="s">
        <v>429</v>
      </c>
      <c r="Z17" s="767" t="str">
        <f t="shared" si="1"/>
        <v>D</v>
      </c>
      <c r="AA17" s="551" t="s">
        <v>249</v>
      </c>
      <c r="AB17" s="551" t="s">
        <v>929</v>
      </c>
      <c r="AC17" s="551" t="s">
        <v>146</v>
      </c>
      <c r="AD17" s="747" t="str">
        <f t="shared" si="2"/>
        <v>Right</v>
      </c>
      <c r="AE17" s="552"/>
      <c r="AF17" s="436" t="s">
        <v>378</v>
      </c>
      <c r="AG17" s="551" t="s">
        <v>377</v>
      </c>
      <c r="AH17" s="977" t="s">
        <v>378</v>
      </c>
      <c r="AI17" s="551" t="s">
        <v>377</v>
      </c>
      <c r="AJ17" s="551">
        <v>42</v>
      </c>
      <c r="AK17" s="557" t="s">
        <v>203</v>
      </c>
      <c r="AL17" s="1079"/>
      <c r="AM17" s="436">
        <v>5</v>
      </c>
      <c r="AN17" s="551">
        <v>3</v>
      </c>
      <c r="AO17" s="551" t="s">
        <v>378</v>
      </c>
      <c r="AP17" s="551" t="s">
        <v>963</v>
      </c>
      <c r="AQ17" s="551">
        <v>5</v>
      </c>
      <c r="AR17" s="551" t="s">
        <v>377</v>
      </c>
      <c r="AS17" s="552" t="s">
        <v>378</v>
      </c>
      <c r="AT17" s="552" t="s">
        <v>1021</v>
      </c>
      <c r="AU17" s="552" t="s">
        <v>378</v>
      </c>
      <c r="AV17" s="951"/>
    </row>
    <row r="18" spans="1:48" s="45" customFormat="1" ht="15" customHeight="1" x14ac:dyDescent="0.25">
      <c r="A18" s="530" t="s">
        <v>211</v>
      </c>
      <c r="B18" s="522" t="s">
        <v>262</v>
      </c>
      <c r="C18" s="11"/>
      <c r="D18" s="531" t="s">
        <v>874</v>
      </c>
      <c r="E18" s="532" t="s">
        <v>129</v>
      </c>
      <c r="F18" s="335" t="s">
        <v>127</v>
      </c>
      <c r="G18" s="11" t="s">
        <v>378</v>
      </c>
      <c r="H18" s="11" t="s">
        <v>1115</v>
      </c>
      <c r="I18" s="351" t="s">
        <v>378</v>
      </c>
      <c r="J18" s="742">
        <f>VLOOKUP($A18,'Tower configuration'!$A$4:$Q$51,15,FALSE)</f>
        <v>116</v>
      </c>
      <c r="K18" s="743" t="str">
        <f>VLOOKUP($A18,'Tower configuration'!$A$4:$Q$51,16,FALSE)</f>
        <v>Guyed</v>
      </c>
      <c r="L18" s="743">
        <f>VLOOKUP($A18,'Tower configuration'!$A$4:$Q$51,17,FALSE)</f>
        <v>10</v>
      </c>
      <c r="M18" s="527" t="str">
        <f>VLOOKUP(A18,'Tower configuration'!$A$4:$DM$51,20,FALSE)</f>
        <v>Standard</v>
      </c>
      <c r="N18" s="527" t="str">
        <f>VLOOKUP(A18,'Tower configuration'!$A$4:$DM$51,21,FALSE)</f>
        <v>Standard</v>
      </c>
      <c r="O18" s="11">
        <v>0</v>
      </c>
      <c r="P18" s="351" t="s">
        <v>1137</v>
      </c>
      <c r="Q18" s="777">
        <f>VLOOKUP($A18,'Tower configuration'!$A$3:$DM$51,5,FALSE)</f>
        <v>6</v>
      </c>
      <c r="R18" s="11" t="s">
        <v>1170</v>
      </c>
      <c r="S18" s="11">
        <v>1</v>
      </c>
      <c r="T18" s="11">
        <v>3</v>
      </c>
      <c r="U18" s="534">
        <v>6</v>
      </c>
      <c r="V18" s="535" t="str">
        <f t="shared" si="0"/>
        <v>Combined</v>
      </c>
      <c r="W18" s="350" t="s">
        <v>428</v>
      </c>
      <c r="X18" s="11" t="s">
        <v>429</v>
      </c>
      <c r="Y18" s="11" t="s">
        <v>429</v>
      </c>
      <c r="Z18" s="765" t="str">
        <f t="shared" si="1"/>
        <v>D</v>
      </c>
      <c r="AA18" s="11" t="s">
        <v>250</v>
      </c>
      <c r="AB18" s="11" t="s">
        <v>247</v>
      </c>
      <c r="AC18" s="11" t="s">
        <v>146</v>
      </c>
      <c r="AD18" s="743" t="str">
        <f t="shared" si="2"/>
        <v>Right</v>
      </c>
      <c r="AE18" s="351"/>
      <c r="AF18" s="350" t="s">
        <v>378</v>
      </c>
      <c r="AG18" s="11" t="s">
        <v>377</v>
      </c>
      <c r="AH18" s="975" t="s">
        <v>378</v>
      </c>
      <c r="AI18" s="11" t="s">
        <v>378</v>
      </c>
      <c r="AJ18" s="11">
        <v>42</v>
      </c>
      <c r="AK18" s="13" t="s">
        <v>203</v>
      </c>
      <c r="AL18" s="1078"/>
      <c r="AM18" s="350">
        <v>4</v>
      </c>
      <c r="AN18" s="11">
        <v>3</v>
      </c>
      <c r="AO18" s="11" t="s">
        <v>378</v>
      </c>
      <c r="AP18" s="11" t="s">
        <v>963</v>
      </c>
      <c r="AQ18" s="11">
        <v>5</v>
      </c>
      <c r="AR18" s="11" t="s">
        <v>377</v>
      </c>
      <c r="AS18" s="351" t="s">
        <v>378</v>
      </c>
      <c r="AT18" s="351" t="s">
        <v>990</v>
      </c>
      <c r="AU18" s="351" t="s">
        <v>378</v>
      </c>
      <c r="AV18" s="951"/>
    </row>
    <row r="19" spans="1:48" s="45" customFormat="1" ht="15.75" customHeight="1" thickBot="1" x14ac:dyDescent="0.3">
      <c r="A19" s="558" t="s">
        <v>212</v>
      </c>
      <c r="B19" s="559" t="s">
        <v>262</v>
      </c>
      <c r="C19" s="48"/>
      <c r="D19" s="560" t="s">
        <v>106</v>
      </c>
      <c r="E19" s="561" t="s">
        <v>129</v>
      </c>
      <c r="F19" s="337" t="s">
        <v>127</v>
      </c>
      <c r="G19" s="48" t="s">
        <v>378</v>
      </c>
      <c r="H19" s="48" t="s">
        <v>1115</v>
      </c>
      <c r="I19" s="353" t="s">
        <v>378</v>
      </c>
      <c r="J19" s="748">
        <f>VLOOKUP($A19,'Tower configuration'!$A$4:$Q$51,15,FALSE)</f>
        <v>26</v>
      </c>
      <c r="K19" s="749" t="str">
        <f>VLOOKUP($A19,'Tower configuration'!$A$4:$Q$51,16,FALSE)</f>
        <v>Self Supporting</v>
      </c>
      <c r="L19" s="749">
        <f>VLOOKUP($A19,'Tower configuration'!$A$4:$Q$51,17,FALSE)</f>
        <v>2</v>
      </c>
      <c r="M19" s="542" t="str">
        <f>VLOOKUP(A19,'Tower configuration'!$A$4:$DM$51,20,FALSE)</f>
        <v>Standard</v>
      </c>
      <c r="N19" s="542" t="str">
        <f>VLOOKUP(A19,'Tower configuration'!$A$4:$DM$51,21,FALSE)</f>
        <v>Standard</v>
      </c>
      <c r="O19" s="48">
        <v>0</v>
      </c>
      <c r="P19" s="353" t="s">
        <v>378</v>
      </c>
      <c r="Q19" s="780">
        <f>VLOOKUP($A19,'Tower configuration'!$A$3:$DM$51,5,FALSE)</f>
        <v>4</v>
      </c>
      <c r="R19" s="48" t="s">
        <v>1169</v>
      </c>
      <c r="S19" s="48">
        <v>1</v>
      </c>
      <c r="T19" s="48">
        <v>2</v>
      </c>
      <c r="U19" s="562">
        <v>3</v>
      </c>
      <c r="V19" s="563" t="str">
        <f t="shared" si="0"/>
        <v>Combined</v>
      </c>
      <c r="W19" s="352" t="s">
        <v>428</v>
      </c>
      <c r="X19" s="48" t="s">
        <v>429</v>
      </c>
      <c r="Y19" s="48" t="s">
        <v>429</v>
      </c>
      <c r="Z19" s="768" t="str">
        <f t="shared" si="1"/>
        <v>D</v>
      </c>
      <c r="AA19" s="48" t="s">
        <v>142</v>
      </c>
      <c r="AB19" s="48" t="s">
        <v>247</v>
      </c>
      <c r="AC19" s="48" t="s">
        <v>146</v>
      </c>
      <c r="AD19" s="749" t="str">
        <f t="shared" si="2"/>
        <v>Right</v>
      </c>
      <c r="AE19" s="353"/>
      <c r="AF19" s="352" t="s">
        <v>378</v>
      </c>
      <c r="AG19" s="48" t="s">
        <v>378</v>
      </c>
      <c r="AH19" s="978" t="s">
        <v>378</v>
      </c>
      <c r="AI19" s="48" t="s">
        <v>378</v>
      </c>
      <c r="AJ19" s="48">
        <v>42</v>
      </c>
      <c r="AK19" s="20" t="s">
        <v>203</v>
      </c>
      <c r="AL19" s="1080"/>
      <c r="AM19" s="352">
        <v>4</v>
      </c>
      <c r="AN19" s="48">
        <v>3</v>
      </c>
      <c r="AO19" s="48" t="s">
        <v>378</v>
      </c>
      <c r="AP19" s="48" t="s">
        <v>963</v>
      </c>
      <c r="AQ19" s="48">
        <v>5</v>
      </c>
      <c r="AR19" s="48" t="s">
        <v>377</v>
      </c>
      <c r="AS19" s="353" t="s">
        <v>378</v>
      </c>
      <c r="AT19" s="353" t="s">
        <v>989</v>
      </c>
      <c r="AU19" s="353" t="s">
        <v>378</v>
      </c>
      <c r="AV19" s="951"/>
    </row>
    <row r="20" spans="1:48" s="45" customFormat="1" ht="15" customHeight="1" x14ac:dyDescent="0.25">
      <c r="A20" s="515" t="s">
        <v>232</v>
      </c>
      <c r="B20" s="516" t="s">
        <v>263</v>
      </c>
      <c r="C20" s="512" t="s">
        <v>497</v>
      </c>
      <c r="D20" s="564" t="s">
        <v>107</v>
      </c>
      <c r="E20" s="549" t="s">
        <v>128</v>
      </c>
      <c r="F20" s="550" t="s">
        <v>127</v>
      </c>
      <c r="G20" s="551" t="s">
        <v>378</v>
      </c>
      <c r="H20" s="551" t="s">
        <v>1113</v>
      </c>
      <c r="I20" s="552" t="s">
        <v>378</v>
      </c>
      <c r="J20" s="746">
        <f>VLOOKUP($A20,'Tower configuration'!$A$4:$Q$51,15,FALSE)</f>
        <v>127</v>
      </c>
      <c r="K20" s="747" t="str">
        <f>VLOOKUP($A20,'Tower configuration'!$A$4:$Q$51,16,FALSE)</f>
        <v>Guyed</v>
      </c>
      <c r="L20" s="747">
        <f>VLOOKUP($A20,'Tower configuration'!$A$4:$Q$51,17,FALSE)</f>
        <v>11</v>
      </c>
      <c r="M20" s="553" t="str">
        <f>VLOOKUP(A20,'Tower configuration'!$A$4:$DM$51,20,FALSE)</f>
        <v>Standard</v>
      </c>
      <c r="N20" s="553" t="str">
        <f>VLOOKUP(A20,'Tower configuration'!$A$4:$DM$51,21,FALSE)</f>
        <v>Standard</v>
      </c>
      <c r="O20" s="551">
        <v>0</v>
      </c>
      <c r="P20" s="349" t="s">
        <v>378</v>
      </c>
      <c r="Q20" s="779">
        <f>VLOOKUP($A20,'Tower configuration'!$A$3:$DM$51,5,FALSE)</f>
        <v>6</v>
      </c>
      <c r="R20" s="551" t="s">
        <v>1170</v>
      </c>
      <c r="S20" s="551">
        <v>2</v>
      </c>
      <c r="T20" s="551">
        <v>5</v>
      </c>
      <c r="U20" s="555">
        <v>7</v>
      </c>
      <c r="V20" s="556" t="str">
        <f t="shared" si="0"/>
        <v>Combined</v>
      </c>
      <c r="W20" s="436" t="s">
        <v>430</v>
      </c>
      <c r="X20" s="551" t="s">
        <v>429</v>
      </c>
      <c r="Y20" s="551" t="s">
        <v>429</v>
      </c>
      <c r="Z20" s="767" t="str">
        <f t="shared" si="1"/>
        <v>C</v>
      </c>
      <c r="AA20" s="551" t="s">
        <v>249</v>
      </c>
      <c r="AB20" s="551" t="s">
        <v>248</v>
      </c>
      <c r="AC20" s="551" t="s">
        <v>147</v>
      </c>
      <c r="AD20" s="747" t="str">
        <f t="shared" si="2"/>
        <v>Right</v>
      </c>
      <c r="AE20" s="552"/>
      <c r="AF20" s="436" t="s">
        <v>378</v>
      </c>
      <c r="AG20" s="551" t="s">
        <v>377</v>
      </c>
      <c r="AH20" s="977" t="s">
        <v>378</v>
      </c>
      <c r="AI20" s="551" t="s">
        <v>377</v>
      </c>
      <c r="AJ20" s="551">
        <v>42</v>
      </c>
      <c r="AK20" s="557" t="s">
        <v>203</v>
      </c>
      <c r="AL20" s="1079"/>
      <c r="AM20" s="436">
        <v>5</v>
      </c>
      <c r="AN20" s="551">
        <v>3</v>
      </c>
      <c r="AO20" s="551" t="s">
        <v>378</v>
      </c>
      <c r="AP20" s="551" t="s">
        <v>963</v>
      </c>
      <c r="AQ20" s="551">
        <v>5</v>
      </c>
      <c r="AR20" s="551" t="s">
        <v>377</v>
      </c>
      <c r="AS20" s="552" t="s">
        <v>378</v>
      </c>
      <c r="AT20" s="552" t="s">
        <v>1014</v>
      </c>
      <c r="AU20" s="552" t="s">
        <v>378</v>
      </c>
      <c r="AV20" s="951"/>
    </row>
    <row r="21" spans="1:48" s="45" customFormat="1" ht="15.75" customHeight="1" x14ac:dyDescent="0.25">
      <c r="A21" s="530" t="s">
        <v>214</v>
      </c>
      <c r="B21" s="522" t="s">
        <v>263</v>
      </c>
      <c r="C21" s="11" t="s">
        <v>497</v>
      </c>
      <c r="D21" s="531" t="s">
        <v>875</v>
      </c>
      <c r="E21" s="532" t="s">
        <v>129</v>
      </c>
      <c r="F21" s="335" t="s">
        <v>127</v>
      </c>
      <c r="G21" s="11" t="s">
        <v>378</v>
      </c>
      <c r="H21" s="11" t="s">
        <v>1115</v>
      </c>
      <c r="I21" s="351" t="s">
        <v>378</v>
      </c>
      <c r="J21" s="742">
        <f>VLOOKUP($A21,'Tower configuration'!$A$4:$Q$51,15,FALSE)</f>
        <v>94</v>
      </c>
      <c r="K21" s="743" t="str">
        <f>VLOOKUP($A21,'Tower configuration'!$A$4:$Q$51,16,FALSE)</f>
        <v>Guyed</v>
      </c>
      <c r="L21" s="743">
        <f>VLOOKUP($A21,'Tower configuration'!$A$4:$Q$51,17,FALSE)</f>
        <v>8</v>
      </c>
      <c r="M21" s="527" t="str">
        <f>VLOOKUP(A21,'Tower configuration'!$A$4:$DM$51,20,FALSE)</f>
        <v>Standard</v>
      </c>
      <c r="N21" s="527" t="str">
        <f>VLOOKUP(A21,'Tower configuration'!$A$4:$DM$51,21,FALSE)</f>
        <v>Standard</v>
      </c>
      <c r="O21" s="11">
        <v>0</v>
      </c>
      <c r="P21" s="351" t="s">
        <v>378</v>
      </c>
      <c r="Q21" s="777">
        <f>VLOOKUP($A21,'Tower configuration'!$A$3:$DM$51,5,FALSE)</f>
        <v>6</v>
      </c>
      <c r="R21" s="11" t="s">
        <v>1169</v>
      </c>
      <c r="S21" s="11">
        <v>2</v>
      </c>
      <c r="T21" s="11">
        <v>3</v>
      </c>
      <c r="U21" s="534">
        <v>5</v>
      </c>
      <c r="V21" s="535" t="str">
        <f t="shared" si="0"/>
        <v>Combined</v>
      </c>
      <c r="W21" s="350" t="s">
        <v>427</v>
      </c>
      <c r="X21" s="11" t="s">
        <v>143</v>
      </c>
      <c r="Y21" s="11" t="s">
        <v>143</v>
      </c>
      <c r="Z21" s="765" t="str">
        <f t="shared" si="1"/>
        <v>A</v>
      </c>
      <c r="AA21" s="11" t="s">
        <v>250</v>
      </c>
      <c r="AB21" s="11" t="s">
        <v>248</v>
      </c>
      <c r="AC21" s="11" t="s">
        <v>146</v>
      </c>
      <c r="AD21" s="743" t="str">
        <f t="shared" si="2"/>
        <v>Left</v>
      </c>
      <c r="AE21" s="351"/>
      <c r="AF21" s="350" t="s">
        <v>378</v>
      </c>
      <c r="AG21" s="11" t="s">
        <v>377</v>
      </c>
      <c r="AH21" s="975" t="s">
        <v>378</v>
      </c>
      <c r="AI21" s="11" t="s">
        <v>378</v>
      </c>
      <c r="AJ21" s="11">
        <v>42</v>
      </c>
      <c r="AK21" s="13" t="s">
        <v>203</v>
      </c>
      <c r="AL21" s="1078"/>
      <c r="AM21" s="350">
        <v>4</v>
      </c>
      <c r="AN21" s="11">
        <v>3</v>
      </c>
      <c r="AO21" s="11" t="s">
        <v>378</v>
      </c>
      <c r="AP21" s="11" t="s">
        <v>963</v>
      </c>
      <c r="AQ21" s="11">
        <v>5</v>
      </c>
      <c r="AR21" s="11" t="s">
        <v>377</v>
      </c>
      <c r="AS21" s="351" t="s">
        <v>378</v>
      </c>
      <c r="AT21" s="351" t="s">
        <v>992</v>
      </c>
      <c r="AU21" s="351" t="s">
        <v>378</v>
      </c>
      <c r="AV21" s="951"/>
    </row>
    <row r="22" spans="1:48" s="45" customFormat="1" ht="15.75" customHeight="1" thickBot="1" x14ac:dyDescent="0.3">
      <c r="A22" s="565" t="s">
        <v>213</v>
      </c>
      <c r="B22" s="559" t="s">
        <v>263</v>
      </c>
      <c r="C22" s="48" t="s">
        <v>503</v>
      </c>
      <c r="D22" s="560" t="s">
        <v>108</v>
      </c>
      <c r="E22" s="561" t="s">
        <v>129</v>
      </c>
      <c r="F22" s="337" t="s">
        <v>127</v>
      </c>
      <c r="G22" s="48" t="s">
        <v>378</v>
      </c>
      <c r="H22" s="48" t="s">
        <v>1115</v>
      </c>
      <c r="I22" s="353" t="s">
        <v>378</v>
      </c>
      <c r="J22" s="748">
        <f>VLOOKUP($A22,'Tower configuration'!$A$4:$Q$51,15,FALSE)</f>
        <v>149</v>
      </c>
      <c r="K22" s="749" t="str">
        <f>VLOOKUP($A22,'Tower configuration'!$A$4:$Q$51,16,FALSE)</f>
        <v>Guyed</v>
      </c>
      <c r="L22" s="749">
        <f>VLOOKUP($A22,'Tower configuration'!$A$4:$Q$51,17,FALSE)</f>
        <v>13</v>
      </c>
      <c r="M22" s="542" t="str">
        <f>VLOOKUP(A22,'Tower configuration'!$A$4:$DM$51,20,FALSE)</f>
        <v>Standard</v>
      </c>
      <c r="N22" s="542" t="str">
        <f>VLOOKUP(A22,'Tower configuration'!$A$4:$DM$51,21,FALSE)</f>
        <v>Standard</v>
      </c>
      <c r="O22" s="48">
        <v>0</v>
      </c>
      <c r="P22" s="353" t="s">
        <v>378</v>
      </c>
      <c r="Q22" s="780">
        <f>VLOOKUP($A22,'Tower configuration'!$A$3:$DM$51,5,FALSE)</f>
        <v>6</v>
      </c>
      <c r="R22" s="48" t="s">
        <v>1169</v>
      </c>
      <c r="S22" s="48">
        <v>2</v>
      </c>
      <c r="T22" s="48">
        <v>5</v>
      </c>
      <c r="U22" s="562">
        <v>8</v>
      </c>
      <c r="V22" s="563" t="str">
        <f t="shared" si="0"/>
        <v>Combined</v>
      </c>
      <c r="W22" s="352" t="s">
        <v>427</v>
      </c>
      <c r="X22" s="48" t="s">
        <v>430</v>
      </c>
      <c r="Y22" s="48" t="s">
        <v>430</v>
      </c>
      <c r="Z22" s="768" t="str">
        <f t="shared" si="1"/>
        <v>A</v>
      </c>
      <c r="AA22" s="48" t="s">
        <v>250</v>
      </c>
      <c r="AB22" s="48" t="s">
        <v>248</v>
      </c>
      <c r="AC22" s="48" t="s">
        <v>146</v>
      </c>
      <c r="AD22" s="749" t="str">
        <f t="shared" si="2"/>
        <v>Left</v>
      </c>
      <c r="AE22" s="353"/>
      <c r="AF22" s="352" t="s">
        <v>378</v>
      </c>
      <c r="AG22" s="48" t="s">
        <v>377</v>
      </c>
      <c r="AH22" s="978" t="s">
        <v>378</v>
      </c>
      <c r="AI22" s="48" t="s">
        <v>378</v>
      </c>
      <c r="AJ22" s="48">
        <v>42</v>
      </c>
      <c r="AK22" s="20" t="s">
        <v>203</v>
      </c>
      <c r="AL22" s="1080"/>
      <c r="AM22" s="352">
        <v>4</v>
      </c>
      <c r="AN22" s="48">
        <v>3</v>
      </c>
      <c r="AO22" s="48" t="s">
        <v>378</v>
      </c>
      <c r="AP22" s="48" t="s">
        <v>963</v>
      </c>
      <c r="AQ22" s="48">
        <v>5</v>
      </c>
      <c r="AR22" s="48" t="s">
        <v>378</v>
      </c>
      <c r="AS22" s="353" t="s">
        <v>378</v>
      </c>
      <c r="AT22" s="353" t="s">
        <v>991</v>
      </c>
      <c r="AU22" s="353" t="s">
        <v>378</v>
      </c>
      <c r="AV22" s="951"/>
    </row>
    <row r="23" spans="1:48" s="45" customFormat="1" ht="15" customHeight="1" x14ac:dyDescent="0.25">
      <c r="A23" s="515" t="s">
        <v>233</v>
      </c>
      <c r="B23" s="516" t="s">
        <v>264</v>
      </c>
      <c r="C23" s="512" t="s">
        <v>497</v>
      </c>
      <c r="D23" s="564" t="s">
        <v>109</v>
      </c>
      <c r="E23" s="549" t="s">
        <v>128</v>
      </c>
      <c r="F23" s="550" t="s">
        <v>130</v>
      </c>
      <c r="G23" s="551" t="s">
        <v>378</v>
      </c>
      <c r="H23" s="551" t="s">
        <v>1113</v>
      </c>
      <c r="I23" s="552" t="s">
        <v>377</v>
      </c>
      <c r="J23" s="746">
        <f>VLOOKUP($A23,'Tower configuration'!$A$4:$Q$51,15,FALSE)</f>
        <v>116</v>
      </c>
      <c r="K23" s="747" t="str">
        <f>VLOOKUP($A23,'Tower configuration'!$A$4:$Q$51,16,FALSE)</f>
        <v>Guyed</v>
      </c>
      <c r="L23" s="747">
        <f>VLOOKUP($A23,'Tower configuration'!$A$4:$Q$51,17,FALSE)</f>
        <v>10</v>
      </c>
      <c r="M23" s="553" t="str">
        <f>VLOOKUP(A23,'Tower configuration'!$A$4:$DM$51,20,FALSE)</f>
        <v>Standard</v>
      </c>
      <c r="N23" s="553" t="str">
        <f>VLOOKUP(A23,'Tower configuration'!$A$4:$DM$51,21,FALSE)</f>
        <v>Standard</v>
      </c>
      <c r="O23" s="551">
        <v>0</v>
      </c>
      <c r="P23" s="349" t="s">
        <v>378</v>
      </c>
      <c r="Q23" s="779">
        <f>VLOOKUP($A23,'Tower configuration'!$A$3:$DM$51,5,FALSE)</f>
        <v>5</v>
      </c>
      <c r="R23" s="551" t="s">
        <v>1169</v>
      </c>
      <c r="S23" s="551">
        <v>1</v>
      </c>
      <c r="T23" s="551">
        <v>7</v>
      </c>
      <c r="U23" s="555">
        <v>9</v>
      </c>
      <c r="V23" s="556" t="str">
        <f t="shared" si="0"/>
        <v>Combined</v>
      </c>
      <c r="W23" s="436" t="s">
        <v>428</v>
      </c>
      <c r="X23" s="551" t="s">
        <v>429</v>
      </c>
      <c r="Y23" s="551" t="s">
        <v>429</v>
      </c>
      <c r="Z23" s="767" t="str">
        <f t="shared" si="1"/>
        <v>D</v>
      </c>
      <c r="AA23" s="551" t="s">
        <v>249</v>
      </c>
      <c r="AB23" s="551" t="s">
        <v>247</v>
      </c>
      <c r="AC23" s="551" t="s">
        <v>146</v>
      </c>
      <c r="AD23" s="747" t="str">
        <f t="shared" si="2"/>
        <v>Right</v>
      </c>
      <c r="AE23" s="552"/>
      <c r="AF23" s="436" t="s">
        <v>378</v>
      </c>
      <c r="AG23" s="551" t="s">
        <v>377</v>
      </c>
      <c r="AH23" s="977" t="s">
        <v>378</v>
      </c>
      <c r="AI23" s="551" t="s">
        <v>377</v>
      </c>
      <c r="AJ23" s="551">
        <v>42</v>
      </c>
      <c r="AK23" s="557" t="s">
        <v>203</v>
      </c>
      <c r="AL23" s="1079"/>
      <c r="AM23" s="436">
        <v>5</v>
      </c>
      <c r="AN23" s="551">
        <v>3</v>
      </c>
      <c r="AO23" s="551" t="s">
        <v>378</v>
      </c>
      <c r="AP23" s="551" t="s">
        <v>963</v>
      </c>
      <c r="AQ23" s="551">
        <v>5</v>
      </c>
      <c r="AR23" s="551" t="s">
        <v>377</v>
      </c>
      <c r="AS23" s="552" t="s">
        <v>378</v>
      </c>
      <c r="AT23" s="552" t="s">
        <v>1015</v>
      </c>
      <c r="AU23" s="552" t="s">
        <v>378</v>
      </c>
      <c r="AV23" s="951"/>
    </row>
    <row r="24" spans="1:48" s="45" customFormat="1" x14ac:dyDescent="0.25">
      <c r="A24" s="530" t="s">
        <v>215</v>
      </c>
      <c r="B24" s="522" t="s">
        <v>264</v>
      </c>
      <c r="C24" s="11" t="s">
        <v>498</v>
      </c>
      <c r="D24" s="531" t="s">
        <v>110</v>
      </c>
      <c r="E24" s="532" t="s">
        <v>129</v>
      </c>
      <c r="F24" s="335" t="s">
        <v>130</v>
      </c>
      <c r="G24" s="11" t="s">
        <v>378</v>
      </c>
      <c r="H24" s="11" t="s">
        <v>1115</v>
      </c>
      <c r="I24" s="351" t="s">
        <v>378</v>
      </c>
      <c r="J24" s="742">
        <f>VLOOKUP($A24,'Tower configuration'!$A$4:$Q$51,15,FALSE)</f>
        <v>138</v>
      </c>
      <c r="K24" s="743" t="str">
        <f>VLOOKUP($A24,'Tower configuration'!$A$4:$Q$51,16,FALSE)</f>
        <v>Guyed</v>
      </c>
      <c r="L24" s="743">
        <f>VLOOKUP($A24,'Tower configuration'!$A$4:$Q$51,17,FALSE)</f>
        <v>12</v>
      </c>
      <c r="M24" s="527" t="str">
        <f>VLOOKUP(A24,'Tower configuration'!$A$4:$DM$51,20,FALSE)</f>
        <v>Standard</v>
      </c>
      <c r="N24" s="527" t="str">
        <f>VLOOKUP(A24,'Tower configuration'!$A$4:$DM$51,21,FALSE)</f>
        <v>Standard</v>
      </c>
      <c r="O24" s="11">
        <v>0</v>
      </c>
      <c r="P24" s="351" t="s">
        <v>378</v>
      </c>
      <c r="Q24" s="777">
        <f>VLOOKUP($A24,'Tower configuration'!$A$3:$DM$51,5,FALSE)</f>
        <v>6</v>
      </c>
      <c r="R24" s="11" t="s">
        <v>1170</v>
      </c>
      <c r="S24" s="11">
        <v>2</v>
      </c>
      <c r="T24" s="11">
        <v>6</v>
      </c>
      <c r="U24" s="534">
        <v>9</v>
      </c>
      <c r="V24" s="535" t="str">
        <f t="shared" si="0"/>
        <v>Combined</v>
      </c>
      <c r="W24" s="350" t="s">
        <v>430</v>
      </c>
      <c r="X24" s="11" t="s">
        <v>429</v>
      </c>
      <c r="Y24" s="11" t="s">
        <v>429</v>
      </c>
      <c r="Z24" s="765" t="str">
        <f t="shared" si="1"/>
        <v>C</v>
      </c>
      <c r="AA24" s="11" t="s">
        <v>142</v>
      </c>
      <c r="AB24" s="11" t="s">
        <v>248</v>
      </c>
      <c r="AC24" s="11" t="s">
        <v>147</v>
      </c>
      <c r="AD24" s="743" t="str">
        <f t="shared" si="2"/>
        <v>Right</v>
      </c>
      <c r="AE24" s="351"/>
      <c r="AF24" s="350" t="s">
        <v>378</v>
      </c>
      <c r="AG24" s="11" t="s">
        <v>377</v>
      </c>
      <c r="AH24" s="975" t="s">
        <v>378</v>
      </c>
      <c r="AI24" s="11" t="s">
        <v>378</v>
      </c>
      <c r="AJ24" s="11">
        <v>42</v>
      </c>
      <c r="AK24" s="13" t="s">
        <v>203</v>
      </c>
      <c r="AL24" s="1078"/>
      <c r="AM24" s="350">
        <v>4</v>
      </c>
      <c r="AN24" s="11">
        <v>3</v>
      </c>
      <c r="AO24" s="11" t="s">
        <v>377</v>
      </c>
      <c r="AP24" s="11" t="s">
        <v>963</v>
      </c>
      <c r="AQ24" s="11">
        <v>5</v>
      </c>
      <c r="AR24" s="11" t="s">
        <v>377</v>
      </c>
      <c r="AS24" s="351" t="s">
        <v>378</v>
      </c>
      <c r="AT24" s="351" t="s">
        <v>993</v>
      </c>
      <c r="AU24" s="351" t="s">
        <v>378</v>
      </c>
      <c r="AV24" s="951"/>
    </row>
    <row r="25" spans="1:48" s="45" customFormat="1" ht="15.75" customHeight="1" thickBot="1" x14ac:dyDescent="0.3">
      <c r="A25" s="565" t="s">
        <v>216</v>
      </c>
      <c r="B25" s="559" t="s">
        <v>264</v>
      </c>
      <c r="C25" s="48"/>
      <c r="D25" s="560" t="s">
        <v>407</v>
      </c>
      <c r="E25" s="561" t="s">
        <v>129</v>
      </c>
      <c r="F25" s="337" t="s">
        <v>130</v>
      </c>
      <c r="G25" s="48" t="s">
        <v>378</v>
      </c>
      <c r="H25" s="48" t="s">
        <v>1115</v>
      </c>
      <c r="I25" s="353" t="s">
        <v>378</v>
      </c>
      <c r="J25" s="748">
        <f>VLOOKUP($A25,'Tower configuration'!$A$4:$Q$51,15,FALSE)</f>
        <v>149</v>
      </c>
      <c r="K25" s="749" t="str">
        <f>VLOOKUP($A25,'Tower configuration'!$A$4:$Q$51,16,FALSE)</f>
        <v>Guyed</v>
      </c>
      <c r="L25" s="749">
        <f>VLOOKUP($A25,'Tower configuration'!$A$4:$Q$51,17,FALSE)</f>
        <v>13</v>
      </c>
      <c r="M25" s="542" t="str">
        <f>VLOOKUP(A25,'Tower configuration'!$A$4:$DM$51,20,FALSE)</f>
        <v>Heavy</v>
      </c>
      <c r="N25" s="542" t="str">
        <f>VLOOKUP(A25,'Tower configuration'!$A$4:$DM$51,21,FALSE)</f>
        <v>Heavy</v>
      </c>
      <c r="O25" s="48">
        <v>8</v>
      </c>
      <c r="P25" s="353" t="s">
        <v>378</v>
      </c>
      <c r="Q25" s="780">
        <f>VLOOKUP($A25,'Tower configuration'!$A$3:$DM$51,5,FALSE)</f>
        <v>6</v>
      </c>
      <c r="R25" s="48" t="s">
        <v>1169</v>
      </c>
      <c r="S25" s="48">
        <v>1</v>
      </c>
      <c r="T25" s="48">
        <v>5</v>
      </c>
      <c r="U25" s="562">
        <v>10</v>
      </c>
      <c r="V25" s="563" t="str">
        <f t="shared" si="0"/>
        <v>Combined</v>
      </c>
      <c r="W25" s="352" t="s">
        <v>428</v>
      </c>
      <c r="X25" s="48" t="s">
        <v>429</v>
      </c>
      <c r="Y25" s="48" t="s">
        <v>429</v>
      </c>
      <c r="Z25" s="768" t="str">
        <f t="shared" si="1"/>
        <v>D</v>
      </c>
      <c r="AA25" s="48" t="s">
        <v>249</v>
      </c>
      <c r="AB25" s="48" t="s">
        <v>247</v>
      </c>
      <c r="AC25" s="48" t="s">
        <v>146</v>
      </c>
      <c r="AD25" s="749" t="str">
        <f t="shared" si="2"/>
        <v>Right</v>
      </c>
      <c r="AE25" s="353"/>
      <c r="AF25" s="352" t="s">
        <v>378</v>
      </c>
      <c r="AG25" s="48" t="s">
        <v>377</v>
      </c>
      <c r="AH25" s="978" t="s">
        <v>378</v>
      </c>
      <c r="AI25" s="48" t="s">
        <v>378</v>
      </c>
      <c r="AJ25" s="48">
        <v>42</v>
      </c>
      <c r="AK25" s="20" t="s">
        <v>203</v>
      </c>
      <c r="AL25" s="1080"/>
      <c r="AM25" s="352">
        <v>4</v>
      </c>
      <c r="AN25" s="48">
        <v>3</v>
      </c>
      <c r="AO25" s="48" t="s">
        <v>377</v>
      </c>
      <c r="AP25" s="48" t="s">
        <v>963</v>
      </c>
      <c r="AQ25" s="48">
        <v>5</v>
      </c>
      <c r="AR25" s="48" t="s">
        <v>377</v>
      </c>
      <c r="AS25" s="353" t="s">
        <v>378</v>
      </c>
      <c r="AT25" s="353" t="s">
        <v>994</v>
      </c>
      <c r="AU25" s="353" t="s">
        <v>378</v>
      </c>
      <c r="AV25" s="951"/>
    </row>
    <row r="26" spans="1:48" s="45" customFormat="1" ht="15" customHeight="1" x14ac:dyDescent="0.25">
      <c r="A26" s="587" t="s">
        <v>234</v>
      </c>
      <c r="B26" s="516" t="s">
        <v>265</v>
      </c>
      <c r="C26" s="512" t="s">
        <v>501</v>
      </c>
      <c r="D26" s="564" t="s">
        <v>111</v>
      </c>
      <c r="E26" s="549" t="s">
        <v>128</v>
      </c>
      <c r="F26" s="550" t="s">
        <v>127</v>
      </c>
      <c r="G26" s="551" t="s">
        <v>378</v>
      </c>
      <c r="H26" s="551" t="s">
        <v>1114</v>
      </c>
      <c r="I26" s="552" t="s">
        <v>378</v>
      </c>
      <c r="J26" s="746">
        <f>VLOOKUP($A26,'Tower configuration'!$A$4:$Q$51,15,FALSE)</f>
        <v>26</v>
      </c>
      <c r="K26" s="747" t="str">
        <f>VLOOKUP($A26,'Tower configuration'!$A$4:$Q$51,16,FALSE)</f>
        <v>Self Supporting</v>
      </c>
      <c r="L26" s="747">
        <f>VLOOKUP($A26,'Tower configuration'!$A$4:$Q$51,17,FALSE)</f>
        <v>2</v>
      </c>
      <c r="M26" s="553" t="str">
        <f>VLOOKUP(A26,'Tower configuration'!$A$4:$DM$51,20,FALSE)</f>
        <v>Standard</v>
      </c>
      <c r="N26" s="553" t="str">
        <f>VLOOKUP(A26,'Tower configuration'!$A$4:$DM$51,21,FALSE)</f>
        <v>Standard</v>
      </c>
      <c r="O26" s="551">
        <v>0</v>
      </c>
      <c r="P26" s="349" t="s">
        <v>378</v>
      </c>
      <c r="Q26" s="779">
        <f>VLOOKUP($A26,'Tower configuration'!$A$3:$DM$51,5,FALSE)</f>
        <v>4</v>
      </c>
      <c r="R26" s="551" t="s">
        <v>1169</v>
      </c>
      <c r="S26" s="551">
        <v>1</v>
      </c>
      <c r="T26" s="551">
        <v>2</v>
      </c>
      <c r="U26" s="555">
        <v>3</v>
      </c>
      <c r="V26" s="556" t="str">
        <f t="shared" si="0"/>
        <v>Combined</v>
      </c>
      <c r="W26" s="436" t="s">
        <v>428</v>
      </c>
      <c r="X26" s="551" t="s">
        <v>429</v>
      </c>
      <c r="Y26" s="551" t="s">
        <v>429</v>
      </c>
      <c r="Z26" s="767" t="str">
        <f t="shared" si="1"/>
        <v>D</v>
      </c>
      <c r="AA26" s="551" t="s">
        <v>250</v>
      </c>
      <c r="AB26" s="551" t="s">
        <v>929</v>
      </c>
      <c r="AC26" s="551" t="s">
        <v>146</v>
      </c>
      <c r="AD26" s="747" t="str">
        <f t="shared" si="2"/>
        <v>Right</v>
      </c>
      <c r="AE26" s="552"/>
      <c r="AF26" s="436" t="s">
        <v>378</v>
      </c>
      <c r="AG26" s="551" t="s">
        <v>377</v>
      </c>
      <c r="AH26" s="977" t="s">
        <v>378</v>
      </c>
      <c r="AI26" s="551" t="s">
        <v>377</v>
      </c>
      <c r="AJ26" s="551">
        <v>42</v>
      </c>
      <c r="AK26" s="557" t="s">
        <v>203</v>
      </c>
      <c r="AL26" s="1079"/>
      <c r="AM26" s="436">
        <v>0</v>
      </c>
      <c r="AN26" s="551">
        <v>3</v>
      </c>
      <c r="AO26" s="551" t="s">
        <v>378</v>
      </c>
      <c r="AP26" s="551" t="s">
        <v>963</v>
      </c>
      <c r="AQ26" s="551">
        <v>5</v>
      </c>
      <c r="AR26" s="551" t="s">
        <v>377</v>
      </c>
      <c r="AS26" s="552" t="s">
        <v>378</v>
      </c>
      <c r="AT26" s="552" t="s">
        <v>1016</v>
      </c>
      <c r="AU26" s="552" t="s">
        <v>377</v>
      </c>
      <c r="AV26" s="951"/>
    </row>
    <row r="27" spans="1:48" s="45" customFormat="1" ht="15" customHeight="1" x14ac:dyDescent="0.25">
      <c r="A27" s="533" t="s">
        <v>217</v>
      </c>
      <c r="B27" s="522" t="s">
        <v>265</v>
      </c>
      <c r="C27" s="11" t="s">
        <v>501</v>
      </c>
      <c r="D27" s="531" t="s">
        <v>112</v>
      </c>
      <c r="E27" s="532" t="s">
        <v>129</v>
      </c>
      <c r="F27" s="335" t="s">
        <v>127</v>
      </c>
      <c r="G27" s="11" t="s">
        <v>378</v>
      </c>
      <c r="H27" s="11" t="s">
        <v>1115</v>
      </c>
      <c r="I27" s="351" t="s">
        <v>378</v>
      </c>
      <c r="J27" s="742">
        <f>VLOOKUP($A27,'Tower configuration'!$A$4:$Q$51,15,FALSE)</f>
        <v>26</v>
      </c>
      <c r="K27" s="743" t="str">
        <f>VLOOKUP($A27,'Tower configuration'!$A$4:$Q$51,16,FALSE)</f>
        <v>Self Supporting</v>
      </c>
      <c r="L27" s="743">
        <f>VLOOKUP($A27,'Tower configuration'!$A$4:$Q$51,17,FALSE)</f>
        <v>2</v>
      </c>
      <c r="M27" s="527" t="str">
        <f>VLOOKUP(A27,'Tower configuration'!$A$4:$DM$51,20,FALSE)</f>
        <v>Standard</v>
      </c>
      <c r="N27" s="527" t="str">
        <f>VLOOKUP(A27,'Tower configuration'!$A$4:$DM$51,21,FALSE)</f>
        <v>Standard</v>
      </c>
      <c r="O27" s="11">
        <v>0</v>
      </c>
      <c r="P27" s="351" t="s">
        <v>378</v>
      </c>
      <c r="Q27" s="777">
        <f>VLOOKUP($A27,'Tower configuration'!$A$3:$DM$51,5,FALSE)</f>
        <v>4</v>
      </c>
      <c r="R27" s="11" t="s">
        <v>1169</v>
      </c>
      <c r="S27" s="11">
        <v>1</v>
      </c>
      <c r="T27" s="11">
        <v>2</v>
      </c>
      <c r="U27" s="534">
        <v>3</v>
      </c>
      <c r="V27" s="535" t="str">
        <f t="shared" si="0"/>
        <v>Combined</v>
      </c>
      <c r="W27" s="350" t="s">
        <v>428</v>
      </c>
      <c r="X27" s="11" t="s">
        <v>429</v>
      </c>
      <c r="Y27" s="11" t="s">
        <v>429</v>
      </c>
      <c r="Z27" s="765" t="str">
        <f t="shared" si="1"/>
        <v>D</v>
      </c>
      <c r="AA27" s="11" t="s">
        <v>143</v>
      </c>
      <c r="AB27" s="11" t="s">
        <v>247</v>
      </c>
      <c r="AC27" s="11" t="s">
        <v>146</v>
      </c>
      <c r="AD27" s="743" t="str">
        <f t="shared" si="2"/>
        <v>Right</v>
      </c>
      <c r="AE27" s="351"/>
      <c r="AF27" s="350" t="s">
        <v>378</v>
      </c>
      <c r="AG27" s="11" t="s">
        <v>378</v>
      </c>
      <c r="AH27" s="975" t="s">
        <v>378</v>
      </c>
      <c r="AI27" s="11" t="s">
        <v>378</v>
      </c>
      <c r="AJ27" s="11">
        <v>42</v>
      </c>
      <c r="AK27" s="13" t="s">
        <v>203</v>
      </c>
      <c r="AL27" s="1078"/>
      <c r="AM27" s="350">
        <v>0</v>
      </c>
      <c r="AN27" s="11">
        <v>3</v>
      </c>
      <c r="AO27" s="11" t="s">
        <v>378</v>
      </c>
      <c r="AP27" s="11" t="s">
        <v>963</v>
      </c>
      <c r="AQ27" s="11">
        <v>5</v>
      </c>
      <c r="AR27" s="11" t="s">
        <v>377</v>
      </c>
      <c r="AS27" s="351" t="s">
        <v>378</v>
      </c>
      <c r="AT27" s="351" t="s">
        <v>995</v>
      </c>
      <c r="AU27" s="351" t="s">
        <v>377</v>
      </c>
      <c r="AV27" s="951"/>
    </row>
    <row r="28" spans="1:48" s="45" customFormat="1" ht="15.75" customHeight="1" thickBot="1" x14ac:dyDescent="0.3">
      <c r="A28" s="558" t="s">
        <v>218</v>
      </c>
      <c r="B28" s="559" t="s">
        <v>265</v>
      </c>
      <c r="C28" s="48"/>
      <c r="D28" s="560" t="s">
        <v>113</v>
      </c>
      <c r="E28" s="561" t="s">
        <v>129</v>
      </c>
      <c r="F28" s="337" t="s">
        <v>127</v>
      </c>
      <c r="G28" s="48" t="s">
        <v>378</v>
      </c>
      <c r="H28" s="48" t="s">
        <v>1115</v>
      </c>
      <c r="I28" s="353" t="s">
        <v>378</v>
      </c>
      <c r="J28" s="748">
        <f>VLOOKUP($A28,'Tower configuration'!$A$4:$Q$51,15,FALSE)</f>
        <v>26</v>
      </c>
      <c r="K28" s="749" t="str">
        <f>VLOOKUP($A28,'Tower configuration'!$A$4:$Q$51,16,FALSE)</f>
        <v>Self Supporting</v>
      </c>
      <c r="L28" s="749">
        <f>VLOOKUP($A28,'Tower configuration'!$A$4:$Q$51,17,FALSE)</f>
        <v>2</v>
      </c>
      <c r="M28" s="542" t="str">
        <f>VLOOKUP(A28,'Tower configuration'!$A$4:$DM$51,20,FALSE)</f>
        <v>Standard</v>
      </c>
      <c r="N28" s="542" t="str">
        <f>VLOOKUP(A28,'Tower configuration'!$A$4:$DM$51,21,FALSE)</f>
        <v>Standard</v>
      </c>
      <c r="O28" s="48">
        <v>0</v>
      </c>
      <c r="P28" s="353" t="s">
        <v>378</v>
      </c>
      <c r="Q28" s="780">
        <f>VLOOKUP($A28,'Tower configuration'!$A$3:$DM$51,5,FALSE)</f>
        <v>4</v>
      </c>
      <c r="R28" s="48" t="s">
        <v>1170</v>
      </c>
      <c r="S28" s="48">
        <v>1</v>
      </c>
      <c r="T28" s="48">
        <v>2</v>
      </c>
      <c r="U28" s="562">
        <v>3</v>
      </c>
      <c r="V28" s="563" t="str">
        <f t="shared" si="0"/>
        <v>Combined</v>
      </c>
      <c r="W28" s="352" t="s">
        <v>428</v>
      </c>
      <c r="X28" s="48" t="s">
        <v>429</v>
      </c>
      <c r="Y28" s="48" t="s">
        <v>429</v>
      </c>
      <c r="Z28" s="768" t="str">
        <f t="shared" si="1"/>
        <v>D</v>
      </c>
      <c r="AA28" s="48" t="s">
        <v>250</v>
      </c>
      <c r="AB28" s="48" t="s">
        <v>247</v>
      </c>
      <c r="AC28" s="48" t="s">
        <v>146</v>
      </c>
      <c r="AD28" s="749" t="str">
        <f t="shared" si="2"/>
        <v>Right</v>
      </c>
      <c r="AE28" s="353"/>
      <c r="AF28" s="352" t="s">
        <v>378</v>
      </c>
      <c r="AG28" s="48" t="s">
        <v>377</v>
      </c>
      <c r="AH28" s="978" t="s">
        <v>378</v>
      </c>
      <c r="AI28" s="48" t="s">
        <v>378</v>
      </c>
      <c r="AJ28" s="48">
        <v>42</v>
      </c>
      <c r="AK28" s="20" t="s">
        <v>203</v>
      </c>
      <c r="AL28" s="1080"/>
      <c r="AM28" s="352">
        <v>0</v>
      </c>
      <c r="AN28" s="48">
        <v>3</v>
      </c>
      <c r="AO28" s="48" t="s">
        <v>378</v>
      </c>
      <c r="AP28" s="48" t="s">
        <v>963</v>
      </c>
      <c r="AQ28" s="48">
        <v>5</v>
      </c>
      <c r="AR28" s="48" t="s">
        <v>377</v>
      </c>
      <c r="AS28" s="353" t="s">
        <v>378</v>
      </c>
      <c r="AT28" s="353" t="s">
        <v>996</v>
      </c>
      <c r="AU28" s="541" t="s">
        <v>377</v>
      </c>
      <c r="AV28" s="951"/>
    </row>
    <row r="29" spans="1:48" s="45" customFormat="1" ht="15" customHeight="1" x14ac:dyDescent="0.25">
      <c r="A29" s="587" t="s">
        <v>21</v>
      </c>
      <c r="B29" s="516" t="s">
        <v>266</v>
      </c>
      <c r="C29" s="512" t="s">
        <v>500</v>
      </c>
      <c r="D29" s="564" t="s">
        <v>869</v>
      </c>
      <c r="E29" s="549" t="s">
        <v>128</v>
      </c>
      <c r="F29" s="550" t="s">
        <v>127</v>
      </c>
      <c r="G29" s="551" t="s">
        <v>378</v>
      </c>
      <c r="H29" s="551" t="s">
        <v>1114</v>
      </c>
      <c r="I29" s="552" t="s">
        <v>378</v>
      </c>
      <c r="J29" s="746">
        <f>VLOOKUP($A29,'Tower configuration'!$A$4:$Q$51,15,FALSE)</f>
        <v>26</v>
      </c>
      <c r="K29" s="747" t="str">
        <f>VLOOKUP($A29,'Tower configuration'!$A$4:$Q$51,16,FALSE)</f>
        <v>Self Supporting</v>
      </c>
      <c r="L29" s="747">
        <f>VLOOKUP($A29,'Tower configuration'!$A$4:$Q$51,17,FALSE)</f>
        <v>2</v>
      </c>
      <c r="M29" s="553" t="str">
        <f>VLOOKUP(A29,'Tower configuration'!$A$4:$DM$51,20,FALSE)</f>
        <v>Standard</v>
      </c>
      <c r="N29" s="553" t="str">
        <f>VLOOKUP(A29,'Tower configuration'!$A$4:$DM$51,21,FALSE)</f>
        <v>Standard</v>
      </c>
      <c r="O29" s="551">
        <v>0</v>
      </c>
      <c r="P29" s="349" t="s">
        <v>378</v>
      </c>
      <c r="Q29" s="779">
        <f>VLOOKUP($A29,'Tower configuration'!$A$3:$DM$51,5,FALSE)</f>
        <v>4</v>
      </c>
      <c r="R29" s="551" t="s">
        <v>1169</v>
      </c>
      <c r="S29" s="551">
        <v>1</v>
      </c>
      <c r="T29" s="551">
        <v>2</v>
      </c>
      <c r="U29" s="555">
        <v>3</v>
      </c>
      <c r="V29" s="556" t="str">
        <f t="shared" si="0"/>
        <v>Combined</v>
      </c>
      <c r="W29" s="436" t="s">
        <v>428</v>
      </c>
      <c r="X29" s="551" t="s">
        <v>429</v>
      </c>
      <c r="Y29" s="551" t="s">
        <v>429</v>
      </c>
      <c r="Z29" s="767" t="str">
        <f t="shared" si="1"/>
        <v>D</v>
      </c>
      <c r="AA29" s="551" t="s">
        <v>249</v>
      </c>
      <c r="AB29" s="551" t="s">
        <v>929</v>
      </c>
      <c r="AC29" s="551" t="s">
        <v>146</v>
      </c>
      <c r="AD29" s="747" t="str">
        <f t="shared" si="2"/>
        <v>Right</v>
      </c>
      <c r="AE29" s="552"/>
      <c r="AF29" s="436" t="s">
        <v>377</v>
      </c>
      <c r="AG29" s="551" t="s">
        <v>377</v>
      </c>
      <c r="AH29" s="977" t="s">
        <v>378</v>
      </c>
      <c r="AI29" s="551" t="s">
        <v>377</v>
      </c>
      <c r="AJ29" s="551">
        <v>42</v>
      </c>
      <c r="AK29" s="557" t="s">
        <v>203</v>
      </c>
      <c r="AL29" s="1079"/>
      <c r="AM29" s="436">
        <v>0</v>
      </c>
      <c r="AN29" s="551">
        <v>3</v>
      </c>
      <c r="AO29" s="551" t="s">
        <v>378</v>
      </c>
      <c r="AP29" s="551" t="s">
        <v>963</v>
      </c>
      <c r="AQ29" s="551">
        <v>5</v>
      </c>
      <c r="AR29" s="551" t="s">
        <v>377</v>
      </c>
      <c r="AS29" s="552" t="s">
        <v>378</v>
      </c>
      <c r="AT29" s="552" t="s">
        <v>1017</v>
      </c>
      <c r="AU29" s="552" t="s">
        <v>377</v>
      </c>
      <c r="AV29" s="951"/>
    </row>
    <row r="30" spans="1:48" s="45" customFormat="1" ht="15" customHeight="1" thickBot="1" x14ac:dyDescent="0.3">
      <c r="A30" s="533" t="s">
        <v>20</v>
      </c>
      <c r="B30" s="522" t="s">
        <v>266</v>
      </c>
      <c r="C30" s="11" t="s">
        <v>500</v>
      </c>
      <c r="D30" s="531" t="s">
        <v>114</v>
      </c>
      <c r="E30" s="532" t="s">
        <v>129</v>
      </c>
      <c r="F30" s="335" t="s">
        <v>127</v>
      </c>
      <c r="G30" s="11" t="s">
        <v>378</v>
      </c>
      <c r="H30" s="11" t="s">
        <v>1115</v>
      </c>
      <c r="I30" s="351" t="s">
        <v>378</v>
      </c>
      <c r="J30" s="742">
        <f>VLOOKUP($A30,'Tower configuration'!$A$4:$Q$51,15,FALSE)</f>
        <v>26</v>
      </c>
      <c r="K30" s="743" t="str">
        <f>VLOOKUP($A30,'Tower configuration'!$A$4:$Q$51,16,FALSE)</f>
        <v>Self Supporting</v>
      </c>
      <c r="L30" s="743">
        <f>VLOOKUP($A30,'Tower configuration'!$A$4:$Q$51,17,FALSE)</f>
        <v>2</v>
      </c>
      <c r="M30" s="527" t="str">
        <f>VLOOKUP(A30,'Tower configuration'!$A$4:$DM$51,20,FALSE)</f>
        <v>Standard</v>
      </c>
      <c r="N30" s="527" t="str">
        <f>VLOOKUP(A30,'Tower configuration'!$A$4:$DM$51,21,FALSE)</f>
        <v>Standard</v>
      </c>
      <c r="O30" s="11">
        <v>0</v>
      </c>
      <c r="P30" s="351" t="s">
        <v>378</v>
      </c>
      <c r="Q30" s="777">
        <f>VLOOKUP($A30,'Tower configuration'!$A$3:$DM$51,5,FALSE)</f>
        <v>4</v>
      </c>
      <c r="R30" s="11" t="s">
        <v>1169</v>
      </c>
      <c r="S30" s="11">
        <v>1</v>
      </c>
      <c r="T30" s="11">
        <v>2</v>
      </c>
      <c r="U30" s="534">
        <v>3</v>
      </c>
      <c r="V30" s="535" t="str">
        <f t="shared" si="0"/>
        <v>Combined</v>
      </c>
      <c r="W30" s="350" t="s">
        <v>428</v>
      </c>
      <c r="X30" s="11" t="s">
        <v>429</v>
      </c>
      <c r="Y30" s="11" t="s">
        <v>429</v>
      </c>
      <c r="Z30" s="765" t="str">
        <f t="shared" si="1"/>
        <v>D</v>
      </c>
      <c r="AA30" s="11" t="s">
        <v>249</v>
      </c>
      <c r="AB30" s="11" t="s">
        <v>247</v>
      </c>
      <c r="AC30" s="11" t="s">
        <v>146</v>
      </c>
      <c r="AD30" s="743" t="str">
        <f t="shared" si="2"/>
        <v>Right</v>
      </c>
      <c r="AE30" s="351"/>
      <c r="AF30" s="350" t="s">
        <v>377</v>
      </c>
      <c r="AG30" s="11" t="s">
        <v>377</v>
      </c>
      <c r="AH30" s="975" t="s">
        <v>378</v>
      </c>
      <c r="AI30" s="11" t="s">
        <v>378</v>
      </c>
      <c r="AJ30" s="11">
        <v>42</v>
      </c>
      <c r="AK30" s="13" t="s">
        <v>203</v>
      </c>
      <c r="AL30" s="1078"/>
      <c r="AM30" s="350">
        <v>4</v>
      </c>
      <c r="AN30" s="11">
        <v>3</v>
      </c>
      <c r="AO30" s="11" t="s">
        <v>378</v>
      </c>
      <c r="AP30" s="11" t="s">
        <v>963</v>
      </c>
      <c r="AQ30" s="11">
        <v>5</v>
      </c>
      <c r="AR30" s="11" t="s">
        <v>377</v>
      </c>
      <c r="AS30" s="351" t="s">
        <v>378</v>
      </c>
      <c r="AT30" s="351" t="s">
        <v>997</v>
      </c>
      <c r="AU30" s="351" t="s">
        <v>378</v>
      </c>
      <c r="AV30" s="951"/>
    </row>
    <row r="31" spans="1:48" s="45" customFormat="1" ht="15.75" thickBot="1" x14ac:dyDescent="0.3">
      <c r="A31" s="544" t="s">
        <v>219</v>
      </c>
      <c r="B31" s="36" t="s">
        <v>266</v>
      </c>
      <c r="C31" s="36" t="s">
        <v>498</v>
      </c>
      <c r="D31" s="538" t="s">
        <v>876</v>
      </c>
      <c r="E31" s="539" t="s">
        <v>129</v>
      </c>
      <c r="F31" s="540" t="s">
        <v>127</v>
      </c>
      <c r="G31" s="36" t="s">
        <v>378</v>
      </c>
      <c r="H31" s="36" t="s">
        <v>1115</v>
      </c>
      <c r="I31" s="541" t="s">
        <v>378</v>
      </c>
      <c r="J31" s="744">
        <f>VLOOKUP($A31,'Tower configuration'!$A$4:$Q$51,15,FALSE)</f>
        <v>81</v>
      </c>
      <c r="K31" s="745" t="str">
        <f>VLOOKUP($A31,'Tower configuration'!$A$4:$Q$51,16,FALSE)</f>
        <v>Self Supporting</v>
      </c>
      <c r="L31" s="745">
        <f>VLOOKUP($A31,'Tower configuration'!$A$4:$Q$51,17,FALSE)</f>
        <v>7</v>
      </c>
      <c r="M31" s="543" t="str">
        <f>VLOOKUP(A31,'Tower configuration'!$A$4:$DM$51,20,FALSE)</f>
        <v>Extreme</v>
      </c>
      <c r="N31" s="543" t="str">
        <f>VLOOKUP(A31,'Tower configuration'!$A$4:$DM$51,21,FALSE)</f>
        <v>Extreme</v>
      </c>
      <c r="O31" s="36">
        <v>5</v>
      </c>
      <c r="P31" s="353" t="s">
        <v>378</v>
      </c>
      <c r="Q31" s="778">
        <f>VLOOKUP($A31,'Tower configuration'!$A$3:$DM$51,5,FALSE)</f>
        <v>5</v>
      </c>
      <c r="R31" s="36" t="s">
        <v>1170</v>
      </c>
      <c r="S31" s="36">
        <v>2</v>
      </c>
      <c r="T31" s="36">
        <v>4</v>
      </c>
      <c r="U31" s="545">
        <v>6</v>
      </c>
      <c r="V31" s="546" t="str">
        <f t="shared" si="0"/>
        <v>Combined</v>
      </c>
      <c r="W31" s="435" t="s">
        <v>428</v>
      </c>
      <c r="X31" s="36" t="s">
        <v>429</v>
      </c>
      <c r="Y31" s="36" t="s">
        <v>429</v>
      </c>
      <c r="Z31" s="766" t="str">
        <f t="shared" si="1"/>
        <v>D</v>
      </c>
      <c r="AA31" s="36" t="s">
        <v>249</v>
      </c>
      <c r="AB31" s="36" t="s">
        <v>247</v>
      </c>
      <c r="AC31" s="36" t="s">
        <v>146</v>
      </c>
      <c r="AD31" s="745" t="str">
        <f t="shared" si="2"/>
        <v>Right</v>
      </c>
      <c r="AE31" s="541"/>
      <c r="AF31" s="435" t="s">
        <v>377</v>
      </c>
      <c r="AG31" s="36" t="s">
        <v>377</v>
      </c>
      <c r="AH31" s="976" t="s">
        <v>378</v>
      </c>
      <c r="AI31" s="36" t="s">
        <v>378</v>
      </c>
      <c r="AJ31" s="650">
        <v>42</v>
      </c>
      <c r="AK31" s="737" t="s">
        <v>203</v>
      </c>
      <c r="AL31" s="1081"/>
      <c r="AM31" s="435">
        <v>4</v>
      </c>
      <c r="AN31" s="36">
        <v>3</v>
      </c>
      <c r="AO31" s="36" t="s">
        <v>378</v>
      </c>
      <c r="AP31" s="36" t="s">
        <v>963</v>
      </c>
      <c r="AQ31" s="36">
        <v>5</v>
      </c>
      <c r="AR31" s="36" t="s">
        <v>378</v>
      </c>
      <c r="AS31" s="541" t="s">
        <v>378</v>
      </c>
      <c r="AT31" s="541" t="s">
        <v>998</v>
      </c>
      <c r="AU31" s="552" t="s">
        <v>378</v>
      </c>
      <c r="AV31" s="951"/>
    </row>
    <row r="32" spans="1:48" s="45" customFormat="1" ht="15" customHeight="1" x14ac:dyDescent="0.25">
      <c r="A32" s="515" t="s">
        <v>235</v>
      </c>
      <c r="B32" s="516" t="s">
        <v>251</v>
      </c>
      <c r="C32" s="512"/>
      <c r="D32" s="564" t="s">
        <v>870</v>
      </c>
      <c r="E32" s="549" t="s">
        <v>128</v>
      </c>
      <c r="F32" s="550" t="s">
        <v>127</v>
      </c>
      <c r="G32" s="551" t="s">
        <v>378</v>
      </c>
      <c r="H32" s="551" t="s">
        <v>1113</v>
      </c>
      <c r="I32" s="552" t="s">
        <v>377</v>
      </c>
      <c r="J32" s="746">
        <f>VLOOKUP($A32,'Tower configuration'!$A$4:$Q$51,15,FALSE)</f>
        <v>72</v>
      </c>
      <c r="K32" s="747" t="str">
        <f>VLOOKUP($A32,'Tower configuration'!$A$4:$Q$51,16,FALSE)</f>
        <v>Guyed</v>
      </c>
      <c r="L32" s="752">
        <f>VLOOKUP($A32,'Tower configuration'!$A$4:$Q$51,17,FALSE)</f>
        <v>6</v>
      </c>
      <c r="M32" s="553" t="str">
        <f>VLOOKUP(A32,'Tower configuration'!$A$4:$DM$51,20,FALSE)</f>
        <v>Standard</v>
      </c>
      <c r="N32" s="553" t="str">
        <f>VLOOKUP(A32,'Tower configuration'!$A$4:$DM$51,21,FALSE)</f>
        <v>Standard</v>
      </c>
      <c r="O32" s="551">
        <v>0</v>
      </c>
      <c r="P32" s="349" t="s">
        <v>378</v>
      </c>
      <c r="Q32" s="779">
        <f>VLOOKUP($A32,'Tower configuration'!$A$3:$DM$51,5,FALSE)</f>
        <v>5</v>
      </c>
      <c r="R32" s="551" t="s">
        <v>1169</v>
      </c>
      <c r="S32" s="551">
        <v>2</v>
      </c>
      <c r="T32" s="551">
        <v>3</v>
      </c>
      <c r="U32" s="555">
        <v>5</v>
      </c>
      <c r="V32" s="556" t="str">
        <f t="shared" si="0"/>
        <v>Combined</v>
      </c>
      <c r="W32" s="436" t="s">
        <v>428</v>
      </c>
      <c r="X32" s="551" t="s">
        <v>429</v>
      </c>
      <c r="Y32" s="551" t="s">
        <v>429</v>
      </c>
      <c r="Z32" s="767" t="str">
        <f t="shared" si="1"/>
        <v>D</v>
      </c>
      <c r="AA32" s="551" t="s">
        <v>249</v>
      </c>
      <c r="AB32" s="551" t="s">
        <v>929</v>
      </c>
      <c r="AC32" s="551" t="s">
        <v>146</v>
      </c>
      <c r="AD32" s="747" t="str">
        <f t="shared" si="2"/>
        <v>Right</v>
      </c>
      <c r="AE32" s="552"/>
      <c r="AF32" s="436" t="s">
        <v>378</v>
      </c>
      <c r="AG32" s="551" t="s">
        <v>377</v>
      </c>
      <c r="AH32" s="977" t="s">
        <v>378</v>
      </c>
      <c r="AI32" s="551" t="s">
        <v>377</v>
      </c>
      <c r="AJ32" s="551">
        <v>42</v>
      </c>
      <c r="AK32" s="557" t="s">
        <v>203</v>
      </c>
      <c r="AL32" s="1079"/>
      <c r="AM32" s="436">
        <v>5</v>
      </c>
      <c r="AN32" s="551">
        <v>3</v>
      </c>
      <c r="AO32" s="551" t="s">
        <v>378</v>
      </c>
      <c r="AP32" s="551" t="s">
        <v>963</v>
      </c>
      <c r="AQ32" s="551">
        <v>5</v>
      </c>
      <c r="AR32" s="551" t="s">
        <v>377</v>
      </c>
      <c r="AS32" s="552" t="s">
        <v>378</v>
      </c>
      <c r="AT32" s="552" t="s">
        <v>1022</v>
      </c>
      <c r="AU32" s="552" t="s">
        <v>377</v>
      </c>
      <c r="AV32" s="951"/>
    </row>
    <row r="33" spans="1:48" s="45" customFormat="1" ht="15.75" thickBot="1" x14ac:dyDescent="0.3">
      <c r="A33" s="533" t="s">
        <v>220</v>
      </c>
      <c r="B33" s="522" t="s">
        <v>251</v>
      </c>
      <c r="C33" s="11" t="s">
        <v>498</v>
      </c>
      <c r="D33" s="531" t="s">
        <v>115</v>
      </c>
      <c r="E33" s="532" t="s">
        <v>129</v>
      </c>
      <c r="F33" s="335" t="s">
        <v>127</v>
      </c>
      <c r="G33" s="11" t="s">
        <v>378</v>
      </c>
      <c r="H33" s="11" t="s">
        <v>1115</v>
      </c>
      <c r="I33" s="351" t="s">
        <v>378</v>
      </c>
      <c r="J33" s="742">
        <f>VLOOKUP($A33,'Tower configuration'!$A$4:$Q$51,15,FALSE)</f>
        <v>26</v>
      </c>
      <c r="K33" s="743" t="str">
        <f>VLOOKUP($A33,'Tower configuration'!$A$4:$Q$51,16,FALSE)</f>
        <v>Self Supporting</v>
      </c>
      <c r="L33" s="743">
        <f>VLOOKUP($A33,'Tower configuration'!$A$4:$Q$51,17,FALSE)</f>
        <v>2</v>
      </c>
      <c r="M33" s="527" t="str">
        <f>VLOOKUP(A33,'Tower configuration'!$A$4:$DM$51,20,FALSE)</f>
        <v>Standard</v>
      </c>
      <c r="N33" s="527" t="str">
        <f>VLOOKUP(A33,'Tower configuration'!$A$4:$DM$51,21,FALSE)</f>
        <v>Standard</v>
      </c>
      <c r="O33" s="11">
        <v>0</v>
      </c>
      <c r="P33" s="353" t="s">
        <v>378</v>
      </c>
      <c r="Q33" s="777">
        <f>VLOOKUP($A33,'Tower configuration'!$A$3:$DM$51,5,FALSE)</f>
        <v>4</v>
      </c>
      <c r="R33" s="11" t="s">
        <v>1169</v>
      </c>
      <c r="S33" s="11">
        <v>1</v>
      </c>
      <c r="T33" s="11">
        <v>2</v>
      </c>
      <c r="U33" s="534">
        <v>3</v>
      </c>
      <c r="V33" s="535" t="str">
        <f t="shared" si="0"/>
        <v>Combined</v>
      </c>
      <c r="W33" s="350" t="s">
        <v>427</v>
      </c>
      <c r="X33" s="11" t="s">
        <v>430</v>
      </c>
      <c r="Y33" s="11" t="s">
        <v>430</v>
      </c>
      <c r="Z33" s="765" t="str">
        <f t="shared" si="1"/>
        <v>A</v>
      </c>
      <c r="AA33" s="11" t="s">
        <v>249</v>
      </c>
      <c r="AB33" s="11" t="s">
        <v>248</v>
      </c>
      <c r="AC33" s="11" t="s">
        <v>146</v>
      </c>
      <c r="AD33" s="743" t="str">
        <f t="shared" si="2"/>
        <v>Left</v>
      </c>
      <c r="AE33" s="351"/>
      <c r="AF33" s="350" t="s">
        <v>378</v>
      </c>
      <c r="AG33" s="11" t="s">
        <v>377</v>
      </c>
      <c r="AH33" s="975" t="s">
        <v>378</v>
      </c>
      <c r="AI33" s="11" t="s">
        <v>378</v>
      </c>
      <c r="AJ33" s="11">
        <v>42</v>
      </c>
      <c r="AK33" s="13" t="s">
        <v>203</v>
      </c>
      <c r="AL33" s="1078"/>
      <c r="AM33" s="350">
        <v>0</v>
      </c>
      <c r="AN33" s="11">
        <v>3</v>
      </c>
      <c r="AO33" s="11" t="s">
        <v>378</v>
      </c>
      <c r="AP33" s="11" t="s">
        <v>963</v>
      </c>
      <c r="AQ33" s="11">
        <v>5</v>
      </c>
      <c r="AR33" s="11" t="s">
        <v>378</v>
      </c>
      <c r="AS33" s="351" t="s">
        <v>378</v>
      </c>
      <c r="AT33" s="351" t="s">
        <v>999</v>
      </c>
      <c r="AU33" s="351" t="s">
        <v>377</v>
      </c>
      <c r="AV33" s="951"/>
    </row>
    <row r="34" spans="1:48" s="45" customFormat="1" ht="15" customHeight="1" thickBot="1" x14ac:dyDescent="0.3">
      <c r="A34" s="587" t="s">
        <v>236</v>
      </c>
      <c r="B34" s="512" t="s">
        <v>267</v>
      </c>
      <c r="C34" s="512"/>
      <c r="D34" s="564" t="s">
        <v>871</v>
      </c>
      <c r="E34" s="566" t="s">
        <v>128</v>
      </c>
      <c r="F34" s="554" t="s">
        <v>127</v>
      </c>
      <c r="G34" s="551" t="s">
        <v>378</v>
      </c>
      <c r="H34" s="551" t="s">
        <v>1114</v>
      </c>
      <c r="I34" s="552" t="s">
        <v>378</v>
      </c>
      <c r="J34" s="746">
        <f>VLOOKUP($A34,'Tower configuration'!$A$4:$Q$51,15,FALSE)</f>
        <v>70</v>
      </c>
      <c r="K34" s="747" t="str">
        <f>VLOOKUP($A34,'Tower configuration'!$A$4:$Q$51,16,FALSE)</f>
        <v>Self Supporting</v>
      </c>
      <c r="L34" s="747">
        <f>VLOOKUP($A34,'Tower configuration'!$A$4:$Q$51,17,FALSE)</f>
        <v>6</v>
      </c>
      <c r="M34" s="553" t="str">
        <f>VLOOKUP(A34,'Tower configuration'!$A$4:$DM$51,20,FALSE)</f>
        <v>Extreme</v>
      </c>
      <c r="N34" s="553" t="str">
        <f>VLOOKUP(A34,'Tower configuration'!$A$4:$DM$51,21,FALSE)</f>
        <v>Extreme</v>
      </c>
      <c r="O34" s="551">
        <v>4</v>
      </c>
      <c r="P34" s="353" t="s">
        <v>378</v>
      </c>
      <c r="Q34" s="779">
        <f>VLOOKUP($A34,'Tower configuration'!$A$3:$DM$51,5,FALSE)</f>
        <v>6</v>
      </c>
      <c r="R34" s="551" t="s">
        <v>1170</v>
      </c>
      <c r="S34" s="551">
        <v>1</v>
      </c>
      <c r="T34" s="551">
        <v>3</v>
      </c>
      <c r="U34" s="555">
        <v>5</v>
      </c>
      <c r="V34" s="556" t="str">
        <f t="shared" si="0"/>
        <v>Combined</v>
      </c>
      <c r="W34" s="436" t="s">
        <v>428</v>
      </c>
      <c r="X34" s="551" t="s">
        <v>143</v>
      </c>
      <c r="Y34" s="551" t="s">
        <v>143</v>
      </c>
      <c r="Z34" s="767" t="s">
        <v>939</v>
      </c>
      <c r="AA34" s="551" t="s">
        <v>249</v>
      </c>
      <c r="AB34" s="551" t="s">
        <v>929</v>
      </c>
      <c r="AC34" s="551" t="s">
        <v>146</v>
      </c>
      <c r="AD34" s="747" t="str">
        <f t="shared" ref="AD34:AD51" si="3" xml:space="preserve"> IF(OR(X34="BA",
                X34="AD",
                X34="DC",
                X34="CB"),
                         "Right",
                      IF(OR(X34="AB",
                            X34="BC",
                            X34="CD",
                            X34="DA"),
                         "Left",""))</f>
        <v>Left</v>
      </c>
      <c r="AE34" s="552"/>
      <c r="AF34" s="436" t="s">
        <v>378</v>
      </c>
      <c r="AG34" s="551" t="s">
        <v>377</v>
      </c>
      <c r="AH34" s="977" t="s">
        <v>378</v>
      </c>
      <c r="AI34" s="551" t="s">
        <v>377</v>
      </c>
      <c r="AJ34" s="649">
        <v>42</v>
      </c>
      <c r="AK34" s="649" t="s">
        <v>203</v>
      </c>
      <c r="AL34" s="1079"/>
      <c r="AM34" s="436">
        <v>5</v>
      </c>
      <c r="AN34" s="551">
        <v>3</v>
      </c>
      <c r="AO34" s="551" t="s">
        <v>378</v>
      </c>
      <c r="AP34" s="551" t="s">
        <v>963</v>
      </c>
      <c r="AQ34" s="551">
        <v>5</v>
      </c>
      <c r="AR34" s="551" t="s">
        <v>377</v>
      </c>
      <c r="AS34" s="552" t="s">
        <v>378</v>
      </c>
      <c r="AT34" s="552" t="s">
        <v>1023</v>
      </c>
      <c r="AU34" s="552" t="s">
        <v>378</v>
      </c>
      <c r="AV34" s="951"/>
    </row>
    <row r="35" spans="1:48" s="45" customFormat="1" ht="15" customHeight="1" thickBot="1" x14ac:dyDescent="0.3">
      <c r="A35" s="587" t="s">
        <v>237</v>
      </c>
      <c r="B35" s="516" t="s">
        <v>268</v>
      </c>
      <c r="C35" s="512"/>
      <c r="D35" s="564" t="s">
        <v>227</v>
      </c>
      <c r="E35" s="549" t="s">
        <v>128</v>
      </c>
      <c r="F35" s="550" t="s">
        <v>462</v>
      </c>
      <c r="G35" s="551"/>
      <c r="H35" s="551" t="s">
        <v>1114</v>
      </c>
      <c r="I35" s="552" t="s">
        <v>378</v>
      </c>
      <c r="J35" s="746">
        <f>VLOOKUP($A35,'Tower configuration'!$A$4:$Q$51,15,FALSE)</f>
        <v>26</v>
      </c>
      <c r="K35" s="747" t="str">
        <f>VLOOKUP($A35,'Tower configuration'!$A$4:$Q$51,16,FALSE)</f>
        <v>Self Supporting</v>
      </c>
      <c r="L35" s="747">
        <f>VLOOKUP($A35,'Tower configuration'!$A$4:$Q$51,17,FALSE)</f>
        <v>2</v>
      </c>
      <c r="M35" s="553" t="str">
        <f>VLOOKUP(A35,'Tower configuration'!$A$4:$DM$51,20,FALSE)</f>
        <v>Extreme</v>
      </c>
      <c r="N35" s="553" t="str">
        <f>VLOOKUP(A35,'Tower configuration'!$A$4:$DM$51,21,FALSE)</f>
        <v>Heavy</v>
      </c>
      <c r="O35" s="551">
        <v>2</v>
      </c>
      <c r="P35" s="349" t="s">
        <v>378</v>
      </c>
      <c r="Q35" s="779">
        <f>VLOOKUP($A35,'Tower configuration'!$A$3:$DM$51,5,FALSE)</f>
        <v>4</v>
      </c>
      <c r="R35" s="551" t="s">
        <v>1169</v>
      </c>
      <c r="S35" s="551">
        <v>1</v>
      </c>
      <c r="T35" s="551">
        <v>2</v>
      </c>
      <c r="U35" s="555">
        <v>3</v>
      </c>
      <c r="V35" s="556" t="str">
        <f t="shared" si="0"/>
        <v>Combined</v>
      </c>
      <c r="W35" s="436" t="s">
        <v>428</v>
      </c>
      <c r="X35" s="551" t="s">
        <v>429</v>
      </c>
      <c r="Y35" s="551" t="s">
        <v>429</v>
      </c>
      <c r="Z35" s="767" t="str">
        <f t="shared" ref="Z35:Z51" si="4">IF(AC35="D",
             "C",
               IF(AC35="C",
                        IF(OR(RIGHT(W35,1)="D",RIGHT(X35,1)="D",RIGHT(Y35,1)="D"),
                                  "A",
                                   "D"),
                        "")
)</f>
        <v>D</v>
      </c>
      <c r="AA35" s="551" t="s">
        <v>250</v>
      </c>
      <c r="AB35" s="551" t="s">
        <v>929</v>
      </c>
      <c r="AC35" s="551" t="s">
        <v>146</v>
      </c>
      <c r="AD35" s="747" t="str">
        <f t="shared" si="3"/>
        <v>Right</v>
      </c>
      <c r="AE35" s="552"/>
      <c r="AF35" s="436" t="s">
        <v>377</v>
      </c>
      <c r="AG35" s="551" t="s">
        <v>377</v>
      </c>
      <c r="AH35" s="977" t="s">
        <v>378</v>
      </c>
      <c r="AI35" s="551" t="s">
        <v>377</v>
      </c>
      <c r="AJ35" s="648">
        <v>42</v>
      </c>
      <c r="AK35" s="649" t="s">
        <v>203</v>
      </c>
      <c r="AL35" s="1079" t="s">
        <v>378</v>
      </c>
      <c r="AM35" s="436">
        <v>0</v>
      </c>
      <c r="AN35" s="551">
        <v>3</v>
      </c>
      <c r="AO35" s="551" t="s">
        <v>378</v>
      </c>
      <c r="AP35" s="551" t="s">
        <v>963</v>
      </c>
      <c r="AQ35" s="551">
        <v>5</v>
      </c>
      <c r="AR35" s="551" t="s">
        <v>378</v>
      </c>
      <c r="AS35" s="552" t="s">
        <v>378</v>
      </c>
      <c r="AT35" s="552" t="s">
        <v>1024</v>
      </c>
      <c r="AU35" s="353" t="s">
        <v>378</v>
      </c>
      <c r="AV35" s="951"/>
    </row>
    <row r="36" spans="1:48" s="45" customFormat="1" ht="15" customHeight="1" thickBot="1" x14ac:dyDescent="0.3">
      <c r="A36" s="533" t="s">
        <v>221</v>
      </c>
      <c r="B36" s="522" t="s">
        <v>268</v>
      </c>
      <c r="C36" s="11" t="s">
        <v>497</v>
      </c>
      <c r="D36" s="531" t="s">
        <v>877</v>
      </c>
      <c r="E36" s="532" t="s">
        <v>129</v>
      </c>
      <c r="F36" s="335" t="s">
        <v>127</v>
      </c>
      <c r="G36" s="11" t="s">
        <v>378</v>
      </c>
      <c r="H36" s="11" t="s">
        <v>1115</v>
      </c>
      <c r="I36" s="351" t="s">
        <v>378</v>
      </c>
      <c r="J36" s="742">
        <f>VLOOKUP($A36,'Tower configuration'!$A$4:$Q$51,15,FALSE)</f>
        <v>26</v>
      </c>
      <c r="K36" s="743" t="str">
        <f>VLOOKUP($A36,'Tower configuration'!$A$4:$Q$51,16,FALSE)</f>
        <v>Self Supporting</v>
      </c>
      <c r="L36" s="743">
        <f>VLOOKUP($A36,'Tower configuration'!$A$4:$Q$51,17,FALSE)</f>
        <v>2</v>
      </c>
      <c r="M36" s="527" t="str">
        <f>VLOOKUP(A36,'Tower configuration'!$A$4:$DM$51,20,FALSE)</f>
        <v>Standard</v>
      </c>
      <c r="N36" s="527" t="str">
        <f>VLOOKUP(A36,'Tower configuration'!$A$4:$DM$51,21,FALSE)</f>
        <v>Standard</v>
      </c>
      <c r="O36" s="11">
        <v>0</v>
      </c>
      <c r="P36" s="353" t="s">
        <v>378</v>
      </c>
      <c r="Q36" s="777">
        <f>VLOOKUP($A36,'Tower configuration'!$A$3:$DM$51,5,FALSE)</f>
        <v>4</v>
      </c>
      <c r="R36" s="11" t="s">
        <v>1170</v>
      </c>
      <c r="S36" s="11">
        <v>1</v>
      </c>
      <c r="T36" s="11">
        <v>2</v>
      </c>
      <c r="U36" s="534">
        <v>3</v>
      </c>
      <c r="V36" s="535" t="str">
        <f t="shared" si="0"/>
        <v>Combined</v>
      </c>
      <c r="W36" s="350" t="s">
        <v>430</v>
      </c>
      <c r="X36" s="11" t="s">
        <v>429</v>
      </c>
      <c r="Y36" s="11" t="s">
        <v>429</v>
      </c>
      <c r="Z36" s="765" t="str">
        <f t="shared" si="4"/>
        <v>C</v>
      </c>
      <c r="AA36" s="11" t="s">
        <v>249</v>
      </c>
      <c r="AB36" s="11" t="s">
        <v>247</v>
      </c>
      <c r="AC36" s="11" t="s">
        <v>147</v>
      </c>
      <c r="AD36" s="743" t="str">
        <f t="shared" si="3"/>
        <v>Right</v>
      </c>
      <c r="AE36" s="351"/>
      <c r="AF36" s="350" t="s">
        <v>377</v>
      </c>
      <c r="AG36" s="11" t="s">
        <v>377</v>
      </c>
      <c r="AH36" s="975" t="s">
        <v>378</v>
      </c>
      <c r="AI36" s="11" t="s">
        <v>378</v>
      </c>
      <c r="AJ36" s="13">
        <v>42</v>
      </c>
      <c r="AK36" s="13" t="s">
        <v>203</v>
      </c>
      <c r="AL36" s="1078"/>
      <c r="AM36" s="350">
        <v>0</v>
      </c>
      <c r="AN36" s="11">
        <v>3</v>
      </c>
      <c r="AO36" s="11" t="s">
        <v>378</v>
      </c>
      <c r="AP36" s="11" t="s">
        <v>963</v>
      </c>
      <c r="AQ36" s="11">
        <v>5</v>
      </c>
      <c r="AR36" s="11" t="s">
        <v>377</v>
      </c>
      <c r="AS36" s="351" t="s">
        <v>378</v>
      </c>
      <c r="AT36" s="351" t="s">
        <v>1000</v>
      </c>
      <c r="AU36" s="349" t="s">
        <v>377</v>
      </c>
      <c r="AV36" s="951"/>
    </row>
    <row r="37" spans="1:48" s="45" customFormat="1" ht="15" customHeight="1" x14ac:dyDescent="0.25">
      <c r="A37" s="587" t="s">
        <v>238</v>
      </c>
      <c r="B37" s="516" t="s">
        <v>252</v>
      </c>
      <c r="C37" s="512"/>
      <c r="D37" s="564" t="s">
        <v>116</v>
      </c>
      <c r="E37" s="549" t="s">
        <v>128</v>
      </c>
      <c r="F37" s="550" t="s">
        <v>130</v>
      </c>
      <c r="G37" s="551" t="s">
        <v>378</v>
      </c>
      <c r="H37" s="551" t="s">
        <v>1114</v>
      </c>
      <c r="I37" s="552" t="s">
        <v>378</v>
      </c>
      <c r="J37" s="754">
        <f>VLOOKUP($A37,'Tower configuration'!$A$4:$Q$51,15,FALSE)</f>
        <v>26</v>
      </c>
      <c r="K37" s="755" t="str">
        <f>VLOOKUP($A37,'Tower configuration'!$A$4:$Q$51,16,FALSE)</f>
        <v>Self Supporting</v>
      </c>
      <c r="L37" s="755">
        <f>VLOOKUP($A37,'Tower configuration'!$A$4:$Q$51,17,FALSE)</f>
        <v>2</v>
      </c>
      <c r="M37" s="553" t="str">
        <f>VLOOKUP(A37,'Tower configuration'!$A$4:$DM$51,20,FALSE)</f>
        <v>Standard</v>
      </c>
      <c r="N37" s="553" t="str">
        <f>VLOOKUP(A37,'Tower configuration'!$A$4:$DM$51,21,FALSE)</f>
        <v>Standard</v>
      </c>
      <c r="O37" s="551">
        <v>0</v>
      </c>
      <c r="P37" s="349" t="s">
        <v>378</v>
      </c>
      <c r="Q37" s="779">
        <f>VLOOKUP($A37,'Tower configuration'!$A$3:$DM$51,5,FALSE)</f>
        <v>4</v>
      </c>
      <c r="R37" s="551" t="s">
        <v>1170</v>
      </c>
      <c r="S37" s="551">
        <v>1</v>
      </c>
      <c r="T37" s="551">
        <v>2</v>
      </c>
      <c r="U37" s="555">
        <v>3</v>
      </c>
      <c r="V37" s="556" t="str">
        <f t="shared" si="0"/>
        <v>Combined</v>
      </c>
      <c r="W37" s="436" t="s">
        <v>430</v>
      </c>
      <c r="X37" s="551" t="s">
        <v>429</v>
      </c>
      <c r="Y37" s="551" t="s">
        <v>429</v>
      </c>
      <c r="Z37" s="767" t="str">
        <f t="shared" si="4"/>
        <v>C</v>
      </c>
      <c r="AA37" s="551" t="s">
        <v>249</v>
      </c>
      <c r="AB37" s="551" t="s">
        <v>929</v>
      </c>
      <c r="AC37" s="551" t="s">
        <v>147</v>
      </c>
      <c r="AD37" s="747" t="str">
        <f t="shared" si="3"/>
        <v>Right</v>
      </c>
      <c r="AE37" s="552"/>
      <c r="AF37" s="436" t="s">
        <v>378</v>
      </c>
      <c r="AG37" s="551" t="s">
        <v>377</v>
      </c>
      <c r="AH37" s="977" t="s">
        <v>378</v>
      </c>
      <c r="AI37" s="551" t="s">
        <v>377</v>
      </c>
      <c r="AJ37" s="551">
        <v>42</v>
      </c>
      <c r="AK37" s="557" t="s">
        <v>203</v>
      </c>
      <c r="AL37" s="1079"/>
      <c r="AM37" s="436">
        <v>5</v>
      </c>
      <c r="AN37" s="551">
        <v>3</v>
      </c>
      <c r="AO37" s="551" t="s">
        <v>378</v>
      </c>
      <c r="AP37" s="551" t="s">
        <v>963</v>
      </c>
      <c r="AQ37" s="551">
        <v>5</v>
      </c>
      <c r="AR37" s="551" t="s">
        <v>377</v>
      </c>
      <c r="AS37" s="552" t="s">
        <v>378</v>
      </c>
      <c r="AT37" s="552" t="s">
        <v>1018</v>
      </c>
      <c r="AU37" s="552" t="s">
        <v>378</v>
      </c>
      <c r="AV37" s="951"/>
    </row>
    <row r="38" spans="1:48" s="45" customFormat="1" ht="15" customHeight="1" thickBot="1" x14ac:dyDescent="0.3">
      <c r="A38" s="558" t="s">
        <v>134</v>
      </c>
      <c r="B38" s="559" t="s">
        <v>252</v>
      </c>
      <c r="C38" s="48" t="s">
        <v>499</v>
      </c>
      <c r="D38" s="560" t="s">
        <v>117</v>
      </c>
      <c r="E38" s="561" t="s">
        <v>129</v>
      </c>
      <c r="F38" s="337" t="s">
        <v>130</v>
      </c>
      <c r="G38" s="48" t="s">
        <v>378</v>
      </c>
      <c r="H38" s="48" t="s">
        <v>1115</v>
      </c>
      <c r="I38" s="353" t="s">
        <v>378</v>
      </c>
      <c r="J38" s="760">
        <f>VLOOKUP($A38,'Tower configuration'!$A$4:$Q$51,15,FALSE)</f>
        <v>26</v>
      </c>
      <c r="K38" s="761" t="str">
        <f>VLOOKUP($A38,'Tower configuration'!$A$4:$Q$51,16,FALSE)</f>
        <v>Self Supporting</v>
      </c>
      <c r="L38" s="761">
        <f>VLOOKUP($A38,'Tower configuration'!$A$4:$Q$51,17,FALSE)</f>
        <v>2</v>
      </c>
      <c r="M38" s="542" t="str">
        <f>VLOOKUP(A38,'Tower configuration'!$A$4:$DM$51,20,FALSE)</f>
        <v>Standard</v>
      </c>
      <c r="N38" s="542" t="str">
        <f>VLOOKUP(A38,'Tower configuration'!$A$4:$DM$51,21,FALSE)</f>
        <v>Standard</v>
      </c>
      <c r="O38" s="48">
        <v>0</v>
      </c>
      <c r="P38" s="353" t="s">
        <v>378</v>
      </c>
      <c r="Q38" s="780">
        <f>VLOOKUP($A38,'Tower configuration'!$A$3:$DM$51,5,FALSE)</f>
        <v>4</v>
      </c>
      <c r="R38" s="48" t="s">
        <v>1170</v>
      </c>
      <c r="S38" s="48">
        <v>1</v>
      </c>
      <c r="T38" s="48">
        <v>2</v>
      </c>
      <c r="U38" s="562">
        <v>3</v>
      </c>
      <c r="V38" s="563" t="str">
        <f t="shared" si="0"/>
        <v>Combined</v>
      </c>
      <c r="W38" s="352" t="s">
        <v>428</v>
      </c>
      <c r="X38" s="48" t="s">
        <v>429</v>
      </c>
      <c r="Y38" s="48" t="s">
        <v>429</v>
      </c>
      <c r="Z38" s="768" t="str">
        <f t="shared" si="4"/>
        <v>D</v>
      </c>
      <c r="AA38" s="48" t="s">
        <v>143</v>
      </c>
      <c r="AB38" s="48" t="s">
        <v>247</v>
      </c>
      <c r="AC38" s="48" t="s">
        <v>146</v>
      </c>
      <c r="AD38" s="749" t="str">
        <f t="shared" si="3"/>
        <v>Right</v>
      </c>
      <c r="AE38" s="353"/>
      <c r="AF38" s="352" t="s">
        <v>378</v>
      </c>
      <c r="AG38" s="48" t="s">
        <v>378</v>
      </c>
      <c r="AH38" s="978" t="s">
        <v>378</v>
      </c>
      <c r="AI38" s="48" t="s">
        <v>378</v>
      </c>
      <c r="AJ38" s="48">
        <v>42</v>
      </c>
      <c r="AK38" s="20" t="s">
        <v>203</v>
      </c>
      <c r="AL38" s="1080"/>
      <c r="AM38" s="352">
        <v>4</v>
      </c>
      <c r="AN38" s="48">
        <v>3</v>
      </c>
      <c r="AO38" s="48" t="s">
        <v>378</v>
      </c>
      <c r="AP38" s="48" t="s">
        <v>963</v>
      </c>
      <c r="AQ38" s="48">
        <v>5</v>
      </c>
      <c r="AR38" s="48" t="s">
        <v>377</v>
      </c>
      <c r="AS38" s="353" t="s">
        <v>378</v>
      </c>
      <c r="AT38" s="353" t="s">
        <v>1001</v>
      </c>
      <c r="AU38" s="353" t="s">
        <v>378</v>
      </c>
      <c r="AV38" s="951"/>
    </row>
    <row r="39" spans="1:48" s="45" customFormat="1" ht="15" customHeight="1" thickBot="1" x14ac:dyDescent="0.3">
      <c r="A39" s="586" t="s">
        <v>239</v>
      </c>
      <c r="B39" s="588" t="s">
        <v>253</v>
      </c>
      <c r="C39" s="524" t="s">
        <v>501</v>
      </c>
      <c r="D39" s="525" t="s">
        <v>118</v>
      </c>
      <c r="E39" s="526" t="s">
        <v>128</v>
      </c>
      <c r="F39" s="336" t="s">
        <v>127</v>
      </c>
      <c r="G39" s="12" t="s">
        <v>378</v>
      </c>
      <c r="H39" s="12" t="s">
        <v>1114</v>
      </c>
      <c r="I39" s="349" t="s">
        <v>378</v>
      </c>
      <c r="J39" s="758">
        <f>VLOOKUP($A39,'Tower configuration'!$A$4:$Q$51,15,FALSE)</f>
        <v>26</v>
      </c>
      <c r="K39" s="759" t="str">
        <f>VLOOKUP($A39,'Tower configuration'!$A$4:$Q$51,16,FALSE)</f>
        <v>Self Supporting</v>
      </c>
      <c r="L39" s="759">
        <f>VLOOKUP($A39,'Tower configuration'!$A$4:$Q$51,17,FALSE)</f>
        <v>2</v>
      </c>
      <c r="M39" s="567" t="str">
        <f>VLOOKUP(A39,'Tower configuration'!$A$4:$DM$51,20,FALSE)</f>
        <v>Standard</v>
      </c>
      <c r="N39" s="567" t="str">
        <f>VLOOKUP(A39,'Tower configuration'!$A$4:$DM$51,21,FALSE)</f>
        <v>Standard</v>
      </c>
      <c r="O39" s="12">
        <v>0</v>
      </c>
      <c r="P39" s="353" t="s">
        <v>378</v>
      </c>
      <c r="Q39" s="776">
        <f>VLOOKUP($A39,'Tower configuration'!$A$3:$DM$51,5,FALSE)</f>
        <v>4</v>
      </c>
      <c r="R39" s="12" t="s">
        <v>1170</v>
      </c>
      <c r="S39" s="12">
        <v>1</v>
      </c>
      <c r="T39" s="12">
        <v>2</v>
      </c>
      <c r="U39" s="528">
        <v>3</v>
      </c>
      <c r="V39" s="529" t="str">
        <f t="shared" si="0"/>
        <v>Combined</v>
      </c>
      <c r="W39" s="348" t="s">
        <v>428</v>
      </c>
      <c r="X39" s="12" t="s">
        <v>143</v>
      </c>
      <c r="Y39" s="12" t="s">
        <v>143</v>
      </c>
      <c r="Z39" s="764" t="str">
        <f t="shared" si="4"/>
        <v>D</v>
      </c>
      <c r="AA39" s="12" t="s">
        <v>250</v>
      </c>
      <c r="AB39" s="12" t="s">
        <v>427</v>
      </c>
      <c r="AC39" s="12" t="s">
        <v>146</v>
      </c>
      <c r="AD39" s="741" t="str">
        <f t="shared" si="3"/>
        <v>Left</v>
      </c>
      <c r="AE39" s="349"/>
      <c r="AF39" s="348" t="s">
        <v>377</v>
      </c>
      <c r="AG39" s="12" t="s">
        <v>377</v>
      </c>
      <c r="AH39" s="974" t="s">
        <v>378</v>
      </c>
      <c r="AI39" s="12" t="s">
        <v>377</v>
      </c>
      <c r="AJ39" s="12">
        <v>42</v>
      </c>
      <c r="AK39" s="15" t="s">
        <v>203</v>
      </c>
      <c r="AL39" s="1077"/>
      <c r="AM39" s="348">
        <v>0</v>
      </c>
      <c r="AN39" s="12">
        <v>3</v>
      </c>
      <c r="AO39" s="12" t="s">
        <v>378</v>
      </c>
      <c r="AP39" s="12" t="s">
        <v>963</v>
      </c>
      <c r="AQ39" s="12">
        <v>5</v>
      </c>
      <c r="AR39" s="12" t="s">
        <v>377</v>
      </c>
      <c r="AS39" s="349" t="s">
        <v>378</v>
      </c>
      <c r="AT39" s="349" t="s">
        <v>1019</v>
      </c>
      <c r="AU39" s="349" t="s">
        <v>378</v>
      </c>
      <c r="AV39" s="951"/>
    </row>
    <row r="40" spans="1:48" s="45" customFormat="1" ht="15" customHeight="1" x14ac:dyDescent="0.25">
      <c r="A40" s="515" t="s">
        <v>240</v>
      </c>
      <c r="B40" s="516" t="s">
        <v>269</v>
      </c>
      <c r="C40" s="512"/>
      <c r="D40" s="564" t="s">
        <v>119</v>
      </c>
      <c r="E40" s="549" t="s">
        <v>128</v>
      </c>
      <c r="F40" s="550" t="s">
        <v>127</v>
      </c>
      <c r="G40" s="551" t="s">
        <v>378</v>
      </c>
      <c r="H40" s="551" t="s">
        <v>1113</v>
      </c>
      <c r="I40" s="552" t="s">
        <v>378</v>
      </c>
      <c r="J40" s="754">
        <f>VLOOKUP($A40,'Tower configuration'!$A$4:$Q$51,15,FALSE)</f>
        <v>237</v>
      </c>
      <c r="K40" s="755" t="str">
        <f>VLOOKUP($A40,'Tower configuration'!$A$4:$Q$51,16,FALSE)</f>
        <v>Self Supporting</v>
      </c>
      <c r="L40" s="755">
        <f>VLOOKUP($A40,'Tower configuration'!$A$4:$Q$51,17,FALSE)</f>
        <v>12</v>
      </c>
      <c r="M40" s="553" t="s">
        <v>512</v>
      </c>
      <c r="N40" s="553" t="s">
        <v>512</v>
      </c>
      <c r="O40" s="551"/>
      <c r="P40" s="349" t="s">
        <v>378</v>
      </c>
      <c r="Q40" s="779">
        <f>VLOOKUP($A40,'Tower configuration'!$A$3:$DM$51,5,FALSE)</f>
        <v>8</v>
      </c>
      <c r="R40" s="551" t="s">
        <v>1169</v>
      </c>
      <c r="S40" s="551">
        <v>3</v>
      </c>
      <c r="T40" s="551">
        <v>6</v>
      </c>
      <c r="U40" s="555">
        <v>11</v>
      </c>
      <c r="V40" s="556" t="str">
        <f t="shared" si="0"/>
        <v>Combined</v>
      </c>
      <c r="W40" s="436" t="s">
        <v>428</v>
      </c>
      <c r="X40" s="551" t="s">
        <v>429</v>
      </c>
      <c r="Y40" s="551" t="s">
        <v>429</v>
      </c>
      <c r="Z40" s="767" t="str">
        <f t="shared" si="4"/>
        <v>D</v>
      </c>
      <c r="AA40" s="551" t="s">
        <v>249</v>
      </c>
      <c r="AB40" s="551" t="s">
        <v>247</v>
      </c>
      <c r="AC40" s="551" t="s">
        <v>146</v>
      </c>
      <c r="AD40" s="551" t="str">
        <f t="shared" si="3"/>
        <v>Right</v>
      </c>
      <c r="AE40" s="552"/>
      <c r="AF40" s="436" t="s">
        <v>378</v>
      </c>
      <c r="AG40" s="551" t="s">
        <v>377</v>
      </c>
      <c r="AH40" s="977" t="s">
        <v>378</v>
      </c>
      <c r="AI40" s="551" t="s">
        <v>377</v>
      </c>
      <c r="AJ40" s="551">
        <v>42</v>
      </c>
      <c r="AK40" s="557" t="s">
        <v>203</v>
      </c>
      <c r="AL40" s="1079"/>
      <c r="AM40" s="436">
        <v>5</v>
      </c>
      <c r="AN40" s="551">
        <v>3</v>
      </c>
      <c r="AO40" s="551" t="s">
        <v>378</v>
      </c>
      <c r="AP40" s="551" t="s">
        <v>963</v>
      </c>
      <c r="AQ40" s="551">
        <v>5</v>
      </c>
      <c r="AR40" s="551" t="s">
        <v>377</v>
      </c>
      <c r="AS40" s="552" t="s">
        <v>378</v>
      </c>
      <c r="AT40" s="552" t="s">
        <v>1025</v>
      </c>
      <c r="AU40" s="552" t="s">
        <v>378</v>
      </c>
      <c r="AV40" s="951"/>
    </row>
    <row r="41" spans="1:48" s="45" customFormat="1" ht="15.75" customHeight="1" thickBot="1" x14ac:dyDescent="0.3">
      <c r="A41" s="558" t="s">
        <v>222</v>
      </c>
      <c r="B41" s="559" t="s">
        <v>269</v>
      </c>
      <c r="C41" s="48" t="s">
        <v>502</v>
      </c>
      <c r="D41" s="560" t="s">
        <v>120</v>
      </c>
      <c r="E41" s="561" t="s">
        <v>129</v>
      </c>
      <c r="F41" s="337" t="s">
        <v>127</v>
      </c>
      <c r="G41" s="48" t="s">
        <v>378</v>
      </c>
      <c r="H41" s="48" t="s">
        <v>1115</v>
      </c>
      <c r="I41" s="353" t="s">
        <v>378</v>
      </c>
      <c r="J41" s="750">
        <f>VLOOKUP($A41,'Tower configuration'!$A$4:$Q$51,15,FALSE)</f>
        <v>61</v>
      </c>
      <c r="K41" s="751" t="str">
        <f>VLOOKUP($A41,'Tower configuration'!$A$4:$Q$51,16,FALSE)</f>
        <v>Guyed</v>
      </c>
      <c r="L41" s="761">
        <f>VLOOKUP($A41,'Tower configuration'!$A$4:$Q$51,17,FALSE)</f>
        <v>5</v>
      </c>
      <c r="M41" s="542" t="str">
        <f>VLOOKUP(A41,'Tower configuration'!$A$4:$DM$51,20,FALSE)</f>
        <v>Heavy</v>
      </c>
      <c r="N41" s="542" t="str">
        <f>VLOOKUP(A41,'Tower configuration'!$A$4:$DM$51,21,FALSE)</f>
        <v>Heavy</v>
      </c>
      <c r="O41" s="48">
        <v>3</v>
      </c>
      <c r="P41" s="353" t="s">
        <v>378</v>
      </c>
      <c r="Q41" s="780">
        <f>VLOOKUP($A41,'Tower configuration'!$A$3:$DM$51,5,FALSE)</f>
        <v>5</v>
      </c>
      <c r="R41" s="48" t="s">
        <v>1170</v>
      </c>
      <c r="S41" s="48">
        <v>1</v>
      </c>
      <c r="T41" s="48">
        <v>2</v>
      </c>
      <c r="U41" s="562">
        <v>5</v>
      </c>
      <c r="V41" s="563" t="str">
        <f t="shared" si="0"/>
        <v>Combined</v>
      </c>
      <c r="W41" s="352" t="s">
        <v>430</v>
      </c>
      <c r="X41" s="48" t="s">
        <v>429</v>
      </c>
      <c r="Y41" s="48" t="s">
        <v>429</v>
      </c>
      <c r="Z41" s="768" t="str">
        <f t="shared" si="4"/>
        <v>C</v>
      </c>
      <c r="AA41" s="48" t="s">
        <v>142</v>
      </c>
      <c r="AB41" s="48" t="s">
        <v>248</v>
      </c>
      <c r="AC41" s="48" t="s">
        <v>147</v>
      </c>
      <c r="AD41" s="749" t="str">
        <f t="shared" si="3"/>
        <v>Right</v>
      </c>
      <c r="AE41" s="353"/>
      <c r="AF41" s="352" t="s">
        <v>378</v>
      </c>
      <c r="AG41" s="48" t="s">
        <v>378</v>
      </c>
      <c r="AH41" s="978" t="s">
        <v>378</v>
      </c>
      <c r="AI41" s="48" t="s">
        <v>378</v>
      </c>
      <c r="AJ41" s="48">
        <v>42</v>
      </c>
      <c r="AK41" s="20" t="s">
        <v>203</v>
      </c>
      <c r="AL41" s="1080"/>
      <c r="AM41" s="352">
        <v>4</v>
      </c>
      <c r="AN41" s="48">
        <v>3</v>
      </c>
      <c r="AO41" s="48" t="s">
        <v>378</v>
      </c>
      <c r="AP41" s="48" t="s">
        <v>963</v>
      </c>
      <c r="AQ41" s="48">
        <v>5</v>
      </c>
      <c r="AR41" s="48" t="s">
        <v>377</v>
      </c>
      <c r="AS41" s="353" t="s">
        <v>378</v>
      </c>
      <c r="AT41" s="353" t="s">
        <v>1002</v>
      </c>
      <c r="AU41" s="353" t="s">
        <v>378</v>
      </c>
      <c r="AV41" s="951"/>
    </row>
    <row r="42" spans="1:48" s="45" customFormat="1" ht="15" customHeight="1" x14ac:dyDescent="0.25">
      <c r="A42" s="515" t="s">
        <v>241</v>
      </c>
      <c r="B42" s="516" t="s">
        <v>270</v>
      </c>
      <c r="C42" s="512"/>
      <c r="D42" s="564" t="s">
        <v>121</v>
      </c>
      <c r="E42" s="549" t="s">
        <v>128</v>
      </c>
      <c r="F42" s="550" t="s">
        <v>127</v>
      </c>
      <c r="G42" s="551" t="s">
        <v>378</v>
      </c>
      <c r="H42" s="551" t="s">
        <v>1114</v>
      </c>
      <c r="I42" s="552" t="s">
        <v>378</v>
      </c>
      <c r="J42" s="754">
        <f>VLOOKUP($A42,'Tower configuration'!$A$4:$Q$51,15,FALSE)</f>
        <v>127</v>
      </c>
      <c r="K42" s="755" t="str">
        <f>VLOOKUP($A42,'Tower configuration'!$A$4:$Q$51,16,FALSE)</f>
        <v>Guyed</v>
      </c>
      <c r="L42" s="755">
        <f>VLOOKUP($A42,'Tower configuration'!$A$4:$Q$51,17,FALSE)</f>
        <v>11</v>
      </c>
      <c r="M42" s="553" t="str">
        <f>VLOOKUP(A42,'Tower configuration'!$A$4:$DM$51,20,FALSE)</f>
        <v>Standard</v>
      </c>
      <c r="N42" s="553" t="str">
        <f>VLOOKUP(A42,'Tower configuration'!$A$4:$DM$51,21,FALSE)</f>
        <v>Standard</v>
      </c>
      <c r="O42" s="551">
        <v>0</v>
      </c>
      <c r="P42" s="349" t="s">
        <v>378</v>
      </c>
      <c r="Q42" s="779">
        <f>VLOOKUP($A42,'Tower configuration'!$A$3:$DM$51,5,FALSE)</f>
        <v>6</v>
      </c>
      <c r="R42" s="551" t="s">
        <v>1169</v>
      </c>
      <c r="S42" s="551">
        <v>1</v>
      </c>
      <c r="T42" s="551">
        <v>2</v>
      </c>
      <c r="U42" s="555">
        <v>7</v>
      </c>
      <c r="V42" s="556" t="str">
        <f t="shared" si="0"/>
        <v>Combined</v>
      </c>
      <c r="W42" s="436" t="s">
        <v>427</v>
      </c>
      <c r="X42" s="551" t="s">
        <v>430</v>
      </c>
      <c r="Y42" s="551" t="s">
        <v>430</v>
      </c>
      <c r="Z42" s="767" t="str">
        <f t="shared" si="4"/>
        <v>A</v>
      </c>
      <c r="AA42" s="551" t="s">
        <v>249</v>
      </c>
      <c r="AB42" s="551" t="s">
        <v>929</v>
      </c>
      <c r="AC42" s="551" t="s">
        <v>146</v>
      </c>
      <c r="AD42" s="747" t="str">
        <f t="shared" si="3"/>
        <v>Left</v>
      </c>
      <c r="AE42" s="552"/>
      <c r="AF42" s="436" t="s">
        <v>378</v>
      </c>
      <c r="AG42" s="551" t="s">
        <v>377</v>
      </c>
      <c r="AH42" s="977" t="s">
        <v>378</v>
      </c>
      <c r="AI42" s="551" t="s">
        <v>377</v>
      </c>
      <c r="AJ42" s="551">
        <v>42</v>
      </c>
      <c r="AK42" s="557" t="s">
        <v>203</v>
      </c>
      <c r="AL42" s="1079"/>
      <c r="AM42" s="436">
        <v>5</v>
      </c>
      <c r="AN42" s="551">
        <v>3</v>
      </c>
      <c r="AO42" s="551" t="s">
        <v>378</v>
      </c>
      <c r="AP42" s="551" t="s">
        <v>963</v>
      </c>
      <c r="AQ42" s="551">
        <v>5</v>
      </c>
      <c r="AR42" s="551" t="s">
        <v>377</v>
      </c>
      <c r="AS42" s="552" t="s">
        <v>378</v>
      </c>
      <c r="AT42" s="552" t="s">
        <v>1026</v>
      </c>
      <c r="AU42" s="552" t="s">
        <v>378</v>
      </c>
      <c r="AV42" s="951"/>
    </row>
    <row r="43" spans="1:48" s="45" customFormat="1" ht="15" customHeight="1" x14ac:dyDescent="0.25">
      <c r="A43" s="530" t="s">
        <v>224</v>
      </c>
      <c r="B43" s="522" t="s">
        <v>270</v>
      </c>
      <c r="C43" s="11"/>
      <c r="D43" s="531" t="s">
        <v>122</v>
      </c>
      <c r="E43" s="532" t="s">
        <v>129</v>
      </c>
      <c r="F43" s="335" t="s">
        <v>127</v>
      </c>
      <c r="G43" s="11" t="s">
        <v>378</v>
      </c>
      <c r="H43" s="11" t="s">
        <v>1115</v>
      </c>
      <c r="I43" s="351" t="s">
        <v>378</v>
      </c>
      <c r="J43" s="756">
        <f>VLOOKUP($A43,'Tower configuration'!$A$4:$Q$51,15,FALSE)</f>
        <v>171</v>
      </c>
      <c r="K43" s="757" t="str">
        <f>VLOOKUP($A43,'Tower configuration'!$A$4:$Q$51,16,FALSE)</f>
        <v>Guyed</v>
      </c>
      <c r="L43" s="757">
        <f>VLOOKUP($A43,'Tower configuration'!$A$4:$Q$51,17,FALSE)</f>
        <v>15</v>
      </c>
      <c r="M43" s="527" t="str">
        <f>VLOOKUP(A43,'Tower configuration'!$A$4:$DM$51,20,FALSE)</f>
        <v>Heavy</v>
      </c>
      <c r="N43" s="527" t="str">
        <f>VLOOKUP(A43,'Tower configuration'!$A$4:$DM$51,21,FALSE)</f>
        <v>Standard</v>
      </c>
      <c r="O43" s="11">
        <v>1</v>
      </c>
      <c r="P43" s="351" t="s">
        <v>378</v>
      </c>
      <c r="Q43" s="777">
        <f>VLOOKUP($A43,'Tower configuration'!$A$3:$DM$51,5,FALSE)</f>
        <v>6</v>
      </c>
      <c r="R43" s="11" t="s">
        <v>1169</v>
      </c>
      <c r="S43" s="11">
        <v>2</v>
      </c>
      <c r="T43" s="11">
        <v>6</v>
      </c>
      <c r="U43" s="534">
        <v>9</v>
      </c>
      <c r="V43" s="535" t="str">
        <f t="shared" si="0"/>
        <v>Combined</v>
      </c>
      <c r="W43" s="350" t="s">
        <v>427</v>
      </c>
      <c r="X43" s="11" t="s">
        <v>143</v>
      </c>
      <c r="Y43" s="11" t="s">
        <v>143</v>
      </c>
      <c r="Z43" s="765" t="str">
        <f t="shared" si="4"/>
        <v>A</v>
      </c>
      <c r="AA43" s="11" t="s">
        <v>143</v>
      </c>
      <c r="AB43" s="11" t="s">
        <v>248</v>
      </c>
      <c r="AC43" s="11" t="s">
        <v>146</v>
      </c>
      <c r="AD43" s="743" t="str">
        <f t="shared" si="3"/>
        <v>Left</v>
      </c>
      <c r="AE43" s="351"/>
      <c r="AF43" s="350" t="s">
        <v>378</v>
      </c>
      <c r="AG43" s="11" t="s">
        <v>378</v>
      </c>
      <c r="AH43" s="975" t="s">
        <v>378</v>
      </c>
      <c r="AI43" s="11" t="s">
        <v>378</v>
      </c>
      <c r="AJ43" s="11">
        <v>42</v>
      </c>
      <c r="AK43" s="13" t="s">
        <v>203</v>
      </c>
      <c r="AL43" s="1078"/>
      <c r="AM43" s="350">
        <v>4</v>
      </c>
      <c r="AN43" s="11">
        <v>3</v>
      </c>
      <c r="AO43" s="11" t="s">
        <v>378</v>
      </c>
      <c r="AP43" s="11" t="s">
        <v>963</v>
      </c>
      <c r="AQ43" s="11">
        <v>5</v>
      </c>
      <c r="AR43" s="11" t="s">
        <v>377</v>
      </c>
      <c r="AS43" s="351" t="s">
        <v>378</v>
      </c>
      <c r="AT43" s="351" t="s">
        <v>1004</v>
      </c>
      <c r="AU43" s="351" t="s">
        <v>378</v>
      </c>
      <c r="AV43" s="951"/>
    </row>
    <row r="44" spans="1:48" s="45" customFormat="1" ht="15.75" customHeight="1" thickBot="1" x14ac:dyDescent="0.3">
      <c r="A44" s="565" t="s">
        <v>223</v>
      </c>
      <c r="B44" s="559" t="s">
        <v>270</v>
      </c>
      <c r="C44" s="48"/>
      <c r="D44" s="560" t="s">
        <v>123</v>
      </c>
      <c r="E44" s="561" t="s">
        <v>129</v>
      </c>
      <c r="F44" s="337" t="s">
        <v>127</v>
      </c>
      <c r="G44" s="48" t="s">
        <v>378</v>
      </c>
      <c r="H44" s="48" t="s">
        <v>1115</v>
      </c>
      <c r="I44" s="353" t="s">
        <v>378</v>
      </c>
      <c r="J44" s="760">
        <f>VLOOKUP($A44,'Tower configuration'!$A$4:$Q$51,15,FALSE)</f>
        <v>193</v>
      </c>
      <c r="K44" s="761" t="str">
        <f>VLOOKUP($A44,'Tower configuration'!$A$4:$Q$51,16,FALSE)</f>
        <v>Guyed</v>
      </c>
      <c r="L44" s="761">
        <f>VLOOKUP($A44,'Tower configuration'!$A$4:$Q$51,17,FALSE)</f>
        <v>17</v>
      </c>
      <c r="M44" s="568" t="str">
        <f>VLOOKUP(A44,'Tower configuration'!$A$4:$DM$51,20,FALSE)</f>
        <v>Heavy</v>
      </c>
      <c r="N44" s="542" t="str">
        <f>VLOOKUP(A44,'Tower configuration'!$A$4:$DM$51,21,FALSE)</f>
        <v>Heavy</v>
      </c>
      <c r="O44" s="48">
        <v>5</v>
      </c>
      <c r="P44" s="353" t="s">
        <v>1138</v>
      </c>
      <c r="Q44" s="780">
        <f>VLOOKUP($A44,'Tower configuration'!$A$3:$DM$51,5,FALSE)</f>
        <v>7</v>
      </c>
      <c r="R44" s="48" t="s">
        <v>1170</v>
      </c>
      <c r="S44" s="48">
        <v>1</v>
      </c>
      <c r="T44" s="48">
        <v>4</v>
      </c>
      <c r="U44" s="562">
        <v>8</v>
      </c>
      <c r="V44" s="563" t="str">
        <f t="shared" si="0"/>
        <v>Combined</v>
      </c>
      <c r="W44" s="352" t="s">
        <v>428</v>
      </c>
      <c r="X44" s="48" t="s">
        <v>429</v>
      </c>
      <c r="Y44" s="48" t="s">
        <v>429</v>
      </c>
      <c r="Z44" s="768" t="str">
        <f t="shared" si="4"/>
        <v>D</v>
      </c>
      <c r="AA44" s="48" t="s">
        <v>249</v>
      </c>
      <c r="AB44" s="48" t="s">
        <v>247</v>
      </c>
      <c r="AC44" s="48" t="s">
        <v>146</v>
      </c>
      <c r="AD44" s="749" t="str">
        <f t="shared" si="3"/>
        <v>Right</v>
      </c>
      <c r="AE44" s="353"/>
      <c r="AF44" s="352" t="s">
        <v>378</v>
      </c>
      <c r="AG44" s="48" t="s">
        <v>378</v>
      </c>
      <c r="AH44" s="978" t="s">
        <v>378</v>
      </c>
      <c r="AI44" s="48" t="s">
        <v>378</v>
      </c>
      <c r="AJ44" s="647">
        <v>42</v>
      </c>
      <c r="AK44" s="647" t="s">
        <v>203</v>
      </c>
      <c r="AL44" s="1080"/>
      <c r="AM44" s="352">
        <v>4</v>
      </c>
      <c r="AN44" s="48">
        <v>3</v>
      </c>
      <c r="AO44" s="48" t="s">
        <v>378</v>
      </c>
      <c r="AP44" s="48" t="s">
        <v>963</v>
      </c>
      <c r="AQ44" s="48">
        <v>5</v>
      </c>
      <c r="AR44" s="48" t="s">
        <v>377</v>
      </c>
      <c r="AS44" s="353" t="s">
        <v>378</v>
      </c>
      <c r="AT44" s="353" t="s">
        <v>1003</v>
      </c>
      <c r="AU44" s="353" t="s">
        <v>378</v>
      </c>
      <c r="AV44" s="951"/>
    </row>
    <row r="45" spans="1:48" s="45" customFormat="1" ht="15" customHeight="1" x14ac:dyDescent="0.25">
      <c r="A45" s="587" t="s">
        <v>242</v>
      </c>
      <c r="B45" s="516" t="s">
        <v>271</v>
      </c>
      <c r="C45" s="512"/>
      <c r="D45" s="564" t="s">
        <v>124</v>
      </c>
      <c r="E45" s="549" t="s">
        <v>128</v>
      </c>
      <c r="F45" s="550" t="s">
        <v>462</v>
      </c>
      <c r="G45" s="551" t="s">
        <v>377</v>
      </c>
      <c r="H45" s="551" t="s">
        <v>1114</v>
      </c>
      <c r="I45" s="552" t="s">
        <v>378</v>
      </c>
      <c r="J45" s="754">
        <f>VLOOKUP($A45,'Tower configuration'!$A$4:$Q$51,15,FALSE)</f>
        <v>26</v>
      </c>
      <c r="K45" s="755" t="str">
        <f>VLOOKUP($A45,'Tower configuration'!$A$4:$Q$51,16,FALSE)</f>
        <v>Self Supporting</v>
      </c>
      <c r="L45" s="755">
        <f>VLOOKUP($A45,'Tower configuration'!$A$4:$Q$51,17,FALSE)</f>
        <v>2</v>
      </c>
      <c r="M45" s="553" t="str">
        <f>VLOOKUP(A45,'Tower configuration'!$A$4:$DM$51,20,FALSE)</f>
        <v>Standard</v>
      </c>
      <c r="N45" s="553" t="str">
        <f>VLOOKUP(A45,'Tower configuration'!$A$4:$DM$51,21,FALSE)</f>
        <v>Standard</v>
      </c>
      <c r="O45" s="551">
        <v>0</v>
      </c>
      <c r="P45" s="349" t="s">
        <v>378</v>
      </c>
      <c r="Q45" s="779">
        <f>VLOOKUP($A45,'Tower configuration'!$A$3:$DM$51,5,FALSE)</f>
        <v>4</v>
      </c>
      <c r="R45" s="551" t="s">
        <v>1169</v>
      </c>
      <c r="S45" s="551">
        <v>1</v>
      </c>
      <c r="T45" s="551">
        <v>2</v>
      </c>
      <c r="U45" s="555">
        <v>3</v>
      </c>
      <c r="V45" s="556" t="str">
        <f t="shared" si="0"/>
        <v>Combined</v>
      </c>
      <c r="W45" s="436" t="s">
        <v>428</v>
      </c>
      <c r="X45" s="551" t="s">
        <v>429</v>
      </c>
      <c r="Y45" s="551" t="s">
        <v>429</v>
      </c>
      <c r="Z45" s="767" t="str">
        <f t="shared" si="4"/>
        <v>D</v>
      </c>
      <c r="AA45" s="551" t="s">
        <v>249</v>
      </c>
      <c r="AB45" s="551" t="s">
        <v>929</v>
      </c>
      <c r="AC45" s="551" t="s">
        <v>146</v>
      </c>
      <c r="AD45" s="747" t="str">
        <f t="shared" si="3"/>
        <v>Right</v>
      </c>
      <c r="AE45" s="552"/>
      <c r="AF45" s="436" t="s">
        <v>378</v>
      </c>
      <c r="AG45" s="551" t="s">
        <v>377</v>
      </c>
      <c r="AH45" s="977" t="s">
        <v>378</v>
      </c>
      <c r="AI45" s="551" t="s">
        <v>377</v>
      </c>
      <c r="AJ45" s="551">
        <v>42</v>
      </c>
      <c r="AK45" s="557" t="s">
        <v>203</v>
      </c>
      <c r="AL45" s="1079" t="s">
        <v>378</v>
      </c>
      <c r="AM45" s="436">
        <v>0</v>
      </c>
      <c r="AN45" s="551">
        <v>3</v>
      </c>
      <c r="AO45" s="551" t="s">
        <v>378</v>
      </c>
      <c r="AP45" s="551" t="s">
        <v>963</v>
      </c>
      <c r="AQ45" s="551">
        <v>5</v>
      </c>
      <c r="AR45" s="551" t="s">
        <v>377</v>
      </c>
      <c r="AS45" s="552" t="s">
        <v>377</v>
      </c>
      <c r="AT45" s="552" t="s">
        <v>1027</v>
      </c>
      <c r="AU45" s="552" t="s">
        <v>378</v>
      </c>
      <c r="AV45" s="951"/>
    </row>
    <row r="46" spans="1:48" s="45" customFormat="1" ht="15.75" customHeight="1" thickBot="1" x14ac:dyDescent="0.3">
      <c r="A46" s="558" t="s">
        <v>1055</v>
      </c>
      <c r="B46" s="559" t="s">
        <v>271</v>
      </c>
      <c r="C46" s="48"/>
      <c r="D46" s="560" t="s">
        <v>878</v>
      </c>
      <c r="E46" s="561" t="s">
        <v>129</v>
      </c>
      <c r="F46" s="337" t="s">
        <v>462</v>
      </c>
      <c r="G46" s="48" t="s">
        <v>377</v>
      </c>
      <c r="H46" s="48" t="s">
        <v>1115</v>
      </c>
      <c r="I46" s="353" t="s">
        <v>378</v>
      </c>
      <c r="J46" s="760">
        <f>VLOOKUP($A46,'Tower configuration'!$A$4:$Q$51,15,FALSE)</f>
        <v>26</v>
      </c>
      <c r="K46" s="761" t="str">
        <f>VLOOKUP($A46,'Tower configuration'!$A$4:$Q$51,16,FALSE)</f>
        <v>Self Supporting</v>
      </c>
      <c r="L46" s="761">
        <f>VLOOKUP($A46,'Tower configuration'!$A$4:$Q$51,17,FALSE)</f>
        <v>2</v>
      </c>
      <c r="M46" s="542" t="str">
        <f>VLOOKUP(A46,'Tower configuration'!$A$4:$DM$51,20,FALSE)</f>
        <v>Extreme</v>
      </c>
      <c r="N46" s="542" t="str">
        <f>VLOOKUP(A46,'Tower configuration'!$A$4:$DM$51,21,FALSE)</f>
        <v>Standard</v>
      </c>
      <c r="O46" s="48">
        <v>1</v>
      </c>
      <c r="P46" s="353" t="s">
        <v>378</v>
      </c>
      <c r="Q46" s="780">
        <f>VLOOKUP($A46,'Tower configuration'!$A$3:$DM$51,5,FALSE)</f>
        <v>4</v>
      </c>
      <c r="R46" s="48" t="s">
        <v>1170</v>
      </c>
      <c r="S46" s="48">
        <v>1</v>
      </c>
      <c r="T46" s="48">
        <v>2</v>
      </c>
      <c r="U46" s="562">
        <v>3</v>
      </c>
      <c r="V46" s="563" t="str">
        <f t="shared" si="0"/>
        <v>Combined</v>
      </c>
      <c r="W46" s="352" t="s">
        <v>430</v>
      </c>
      <c r="X46" s="48" t="s">
        <v>429</v>
      </c>
      <c r="Y46" s="48" t="s">
        <v>429</v>
      </c>
      <c r="Z46" s="768" t="str">
        <f t="shared" si="4"/>
        <v>C</v>
      </c>
      <c r="AA46" s="48" t="s">
        <v>249</v>
      </c>
      <c r="AB46" s="48" t="s">
        <v>248</v>
      </c>
      <c r="AC46" s="48" t="s">
        <v>147</v>
      </c>
      <c r="AD46" s="749" t="str">
        <f t="shared" si="3"/>
        <v>Right</v>
      </c>
      <c r="AE46" s="353"/>
      <c r="AF46" s="352" t="s">
        <v>378</v>
      </c>
      <c r="AG46" s="48" t="s">
        <v>377</v>
      </c>
      <c r="AH46" s="978" t="s">
        <v>378</v>
      </c>
      <c r="AI46" s="48" t="s">
        <v>377</v>
      </c>
      <c r="AJ46" s="48">
        <v>42</v>
      </c>
      <c r="AK46" s="20" t="s">
        <v>203</v>
      </c>
      <c r="AL46" s="1080" t="s">
        <v>378</v>
      </c>
      <c r="AM46" s="352">
        <v>0</v>
      </c>
      <c r="AN46" s="48">
        <v>3</v>
      </c>
      <c r="AO46" s="48" t="s">
        <v>378</v>
      </c>
      <c r="AP46" s="48" t="s">
        <v>963</v>
      </c>
      <c r="AQ46" s="48">
        <v>5</v>
      </c>
      <c r="AR46" s="48" t="s">
        <v>377</v>
      </c>
      <c r="AS46" s="353" t="s">
        <v>377</v>
      </c>
      <c r="AT46" s="353" t="s">
        <v>1005</v>
      </c>
      <c r="AU46" s="353" t="s">
        <v>378</v>
      </c>
      <c r="AV46" s="951"/>
    </row>
    <row r="47" spans="1:48" s="45" customFormat="1" ht="15" customHeight="1" x14ac:dyDescent="0.25">
      <c r="A47" s="515" t="s">
        <v>243</v>
      </c>
      <c r="B47" s="516" t="s">
        <v>272</v>
      </c>
      <c r="C47" s="512"/>
      <c r="D47" s="564" t="s">
        <v>872</v>
      </c>
      <c r="E47" s="549" t="s">
        <v>128</v>
      </c>
      <c r="F47" s="550" t="s">
        <v>462</v>
      </c>
      <c r="G47" s="551" t="s">
        <v>377</v>
      </c>
      <c r="H47" s="551" t="s">
        <v>1116</v>
      </c>
      <c r="I47" s="552" t="s">
        <v>378</v>
      </c>
      <c r="J47" s="754">
        <f>VLOOKUP($A47,'Tower configuration'!$A$4:$Q$51,15,FALSE)</f>
        <v>59</v>
      </c>
      <c r="K47" s="755" t="str">
        <f>VLOOKUP($A47,'Tower configuration'!$A$4:$Q$51,16,FALSE)</f>
        <v>Self Supporting</v>
      </c>
      <c r="L47" s="755">
        <f>VLOOKUP($A47,'Tower configuration'!$A$4:$Q$51,17,FALSE)</f>
        <v>5</v>
      </c>
      <c r="M47" s="527" t="str">
        <f>VLOOKUP(A47,'Tower configuration'!$A$4:$DM$51,20,FALSE)</f>
        <v>Heavy</v>
      </c>
      <c r="N47" s="553" t="str">
        <f>VLOOKUP(A47,'Tower configuration'!$A$4:$DM$51,21,FALSE)</f>
        <v>Standard</v>
      </c>
      <c r="O47" s="551">
        <v>1</v>
      </c>
      <c r="P47" s="349" t="s">
        <v>378</v>
      </c>
      <c r="Q47" s="779">
        <f>VLOOKUP($A47,'Tower configuration'!$A$3:$DM$51,5,FALSE)</f>
        <v>5</v>
      </c>
      <c r="R47" s="551" t="s">
        <v>1170</v>
      </c>
      <c r="S47" s="551">
        <v>1</v>
      </c>
      <c r="T47" s="551">
        <v>2</v>
      </c>
      <c r="U47" s="555">
        <v>3</v>
      </c>
      <c r="V47" s="556" t="str">
        <f t="shared" si="0"/>
        <v>Combined</v>
      </c>
      <c r="W47" s="436" t="s">
        <v>430</v>
      </c>
      <c r="X47" s="551" t="s">
        <v>429</v>
      </c>
      <c r="Y47" s="551" t="s">
        <v>429</v>
      </c>
      <c r="Z47" s="767" t="str">
        <f t="shared" si="4"/>
        <v>C</v>
      </c>
      <c r="AA47" s="551" t="s">
        <v>249</v>
      </c>
      <c r="AB47" s="551" t="s">
        <v>929</v>
      </c>
      <c r="AC47" s="551" t="s">
        <v>147</v>
      </c>
      <c r="AD47" s="747" t="str">
        <f t="shared" si="3"/>
        <v>Right</v>
      </c>
      <c r="AE47" s="552"/>
      <c r="AF47" s="436" t="s">
        <v>378</v>
      </c>
      <c r="AG47" s="551" t="s">
        <v>377</v>
      </c>
      <c r="AH47" s="977" t="s">
        <v>378</v>
      </c>
      <c r="AI47" s="551" t="s">
        <v>377</v>
      </c>
      <c r="AJ47" s="551">
        <v>42</v>
      </c>
      <c r="AK47" s="557" t="s">
        <v>203</v>
      </c>
      <c r="AL47" s="1079" t="s">
        <v>378</v>
      </c>
      <c r="AM47" s="436">
        <v>5</v>
      </c>
      <c r="AN47" s="551">
        <v>3</v>
      </c>
      <c r="AO47" s="551" t="s">
        <v>378</v>
      </c>
      <c r="AP47" s="551" t="s">
        <v>963</v>
      </c>
      <c r="AQ47" s="551">
        <v>5</v>
      </c>
      <c r="AR47" s="551" t="s">
        <v>377</v>
      </c>
      <c r="AS47" s="552" t="s">
        <v>377</v>
      </c>
      <c r="AT47" s="552" t="s">
        <v>1020</v>
      </c>
      <c r="AU47" s="552" t="s">
        <v>378</v>
      </c>
      <c r="AV47" s="951"/>
    </row>
    <row r="48" spans="1:48" s="45" customFormat="1" ht="15" customHeight="1" x14ac:dyDescent="0.25">
      <c r="A48" s="530" t="s">
        <v>225</v>
      </c>
      <c r="B48" s="522" t="s">
        <v>272</v>
      </c>
      <c r="C48" s="11"/>
      <c r="D48" s="531" t="s">
        <v>125</v>
      </c>
      <c r="E48" s="532" t="s">
        <v>129</v>
      </c>
      <c r="F48" s="335" t="s">
        <v>462</v>
      </c>
      <c r="G48" s="11" t="s">
        <v>377</v>
      </c>
      <c r="H48" s="11" t="s">
        <v>1115</v>
      </c>
      <c r="I48" s="351" t="s">
        <v>378</v>
      </c>
      <c r="J48" s="756">
        <f>VLOOKUP($A48,'Tower configuration'!$A$4:$Q$51,15,FALSE)</f>
        <v>72</v>
      </c>
      <c r="K48" s="757" t="str">
        <f>VLOOKUP($A48,'Tower configuration'!$A$4:$Q$51,16,FALSE)</f>
        <v>Guyed</v>
      </c>
      <c r="L48" s="757">
        <f>VLOOKUP($A48,'Tower configuration'!$A$4:$Q$51,17,FALSE)</f>
        <v>6</v>
      </c>
      <c r="M48" s="527" t="str">
        <f>VLOOKUP(A48,'Tower configuration'!$A$4:$DM$51,20,FALSE)</f>
        <v>Standard</v>
      </c>
      <c r="N48" s="527" t="str">
        <f>VLOOKUP(A48,'Tower configuration'!$A$4:$DM$51,21,FALSE)</f>
        <v>Standard</v>
      </c>
      <c r="O48" s="11">
        <v>0</v>
      </c>
      <c r="P48" s="351" t="s">
        <v>378</v>
      </c>
      <c r="Q48" s="777">
        <f>VLOOKUP($A48,'Tower configuration'!$A$3:$DM$51,5,FALSE)</f>
        <v>5</v>
      </c>
      <c r="R48" s="11" t="s">
        <v>1170</v>
      </c>
      <c r="S48" s="11">
        <v>1</v>
      </c>
      <c r="T48" s="11">
        <v>2</v>
      </c>
      <c r="U48" s="534">
        <v>4</v>
      </c>
      <c r="V48" s="535" t="str">
        <f t="shared" si="0"/>
        <v>Combined</v>
      </c>
      <c r="W48" s="350" t="s">
        <v>430</v>
      </c>
      <c r="X48" s="11" t="s">
        <v>429</v>
      </c>
      <c r="Y48" s="11" t="s">
        <v>429</v>
      </c>
      <c r="Z48" s="765" t="str">
        <f t="shared" si="4"/>
        <v>C</v>
      </c>
      <c r="AA48" s="11" t="s">
        <v>249</v>
      </c>
      <c r="AB48" s="11" t="s">
        <v>248</v>
      </c>
      <c r="AC48" s="11" t="s">
        <v>147</v>
      </c>
      <c r="AD48" s="743" t="str">
        <f t="shared" si="3"/>
        <v>Right</v>
      </c>
      <c r="AE48" s="351"/>
      <c r="AF48" s="350" t="s">
        <v>378</v>
      </c>
      <c r="AG48" s="11" t="s">
        <v>378</v>
      </c>
      <c r="AH48" s="975" t="s">
        <v>378</v>
      </c>
      <c r="AI48" s="11" t="s">
        <v>378</v>
      </c>
      <c r="AJ48" s="11">
        <v>42</v>
      </c>
      <c r="AK48" s="13" t="s">
        <v>203</v>
      </c>
      <c r="AL48" s="1078" t="s">
        <v>378</v>
      </c>
      <c r="AM48" s="350">
        <v>4</v>
      </c>
      <c r="AN48" s="11">
        <v>3</v>
      </c>
      <c r="AO48" s="11" t="s">
        <v>378</v>
      </c>
      <c r="AP48" s="11" t="s">
        <v>963</v>
      </c>
      <c r="AQ48" s="11">
        <v>5</v>
      </c>
      <c r="AR48" s="11" t="s">
        <v>377</v>
      </c>
      <c r="AS48" s="351" t="s">
        <v>377</v>
      </c>
      <c r="AT48" s="351" t="s">
        <v>1006</v>
      </c>
      <c r="AU48" s="351" t="s">
        <v>378</v>
      </c>
      <c r="AV48" s="951"/>
    </row>
    <row r="49" spans="1:48" s="45" customFormat="1" ht="15.75" customHeight="1" thickBot="1" x14ac:dyDescent="0.3">
      <c r="A49" s="558" t="s">
        <v>226</v>
      </c>
      <c r="B49" s="559" t="s">
        <v>272</v>
      </c>
      <c r="C49" s="48" t="s">
        <v>502</v>
      </c>
      <c r="D49" s="560" t="s">
        <v>881</v>
      </c>
      <c r="E49" s="561" t="s">
        <v>129</v>
      </c>
      <c r="F49" s="337" t="s">
        <v>462</v>
      </c>
      <c r="G49" s="48" t="s">
        <v>377</v>
      </c>
      <c r="H49" s="48" t="s">
        <v>1115</v>
      </c>
      <c r="I49" s="353" t="s">
        <v>378</v>
      </c>
      <c r="J49" s="760">
        <f>VLOOKUP($A49,'Tower configuration'!$A$4:$Q$51,15,FALSE)</f>
        <v>26</v>
      </c>
      <c r="K49" s="761" t="str">
        <f>VLOOKUP($A49,'Tower configuration'!$A$4:$Q$51,16,FALSE)</f>
        <v>Self Supporting</v>
      </c>
      <c r="L49" s="761">
        <f>VLOOKUP($A49,'Tower configuration'!$A$4:$Q$51,17,FALSE)</f>
        <v>2</v>
      </c>
      <c r="M49" s="542" t="s">
        <v>203</v>
      </c>
      <c r="N49" s="542" t="s">
        <v>203</v>
      </c>
      <c r="O49" s="48"/>
      <c r="P49" s="353" t="s">
        <v>378</v>
      </c>
      <c r="Q49" s="780">
        <f>VLOOKUP($A49,'Tower configuration'!$A$3:$DM$51,5,FALSE)</f>
        <v>4</v>
      </c>
      <c r="R49" s="48" t="s">
        <v>1170</v>
      </c>
      <c r="S49" s="48">
        <v>1</v>
      </c>
      <c r="T49" s="48">
        <v>2</v>
      </c>
      <c r="U49" s="562">
        <v>3</v>
      </c>
      <c r="V49" s="563" t="str">
        <f t="shared" si="0"/>
        <v>Combined</v>
      </c>
      <c r="W49" s="352" t="s">
        <v>430</v>
      </c>
      <c r="X49" s="48" t="s">
        <v>429</v>
      </c>
      <c r="Y49" s="48" t="s">
        <v>429</v>
      </c>
      <c r="Z49" s="768" t="str">
        <f t="shared" si="4"/>
        <v>C</v>
      </c>
      <c r="AA49" s="48" t="s">
        <v>249</v>
      </c>
      <c r="AB49" s="48" t="s">
        <v>248</v>
      </c>
      <c r="AC49" s="48" t="s">
        <v>147</v>
      </c>
      <c r="AD49" s="749" t="str">
        <f t="shared" si="3"/>
        <v>Right</v>
      </c>
      <c r="AE49" s="353"/>
      <c r="AF49" s="352" t="s">
        <v>378</v>
      </c>
      <c r="AG49" s="48" t="s">
        <v>377</v>
      </c>
      <c r="AH49" s="978" t="s">
        <v>378</v>
      </c>
      <c r="AI49" s="48" t="s">
        <v>378</v>
      </c>
      <c r="AJ49" s="48">
        <v>42</v>
      </c>
      <c r="AK49" s="20" t="s">
        <v>203</v>
      </c>
      <c r="AL49" s="1080" t="s">
        <v>378</v>
      </c>
      <c r="AM49" s="352">
        <v>0</v>
      </c>
      <c r="AN49" s="48">
        <v>3</v>
      </c>
      <c r="AO49" s="48" t="s">
        <v>378</v>
      </c>
      <c r="AP49" s="48" t="s">
        <v>963</v>
      </c>
      <c r="AQ49" s="48">
        <v>5</v>
      </c>
      <c r="AR49" s="48" t="s">
        <v>377</v>
      </c>
      <c r="AS49" s="353" t="s">
        <v>377</v>
      </c>
      <c r="AT49" s="353" t="s">
        <v>1007</v>
      </c>
      <c r="AU49" s="353" t="s">
        <v>378</v>
      </c>
      <c r="AV49" s="951"/>
    </row>
    <row r="50" spans="1:48" s="354" customFormat="1" ht="15" customHeight="1" thickBot="1" x14ac:dyDescent="0.3">
      <c r="A50" s="586" t="s">
        <v>1179</v>
      </c>
      <c r="B50" s="524" t="s">
        <v>273</v>
      </c>
      <c r="C50" s="524"/>
      <c r="D50" s="525" t="s">
        <v>1180</v>
      </c>
      <c r="E50" s="569" t="s">
        <v>128</v>
      </c>
      <c r="F50" s="370" t="s">
        <v>130</v>
      </c>
      <c r="G50" s="12" t="s">
        <v>378</v>
      </c>
      <c r="H50" s="12" t="s">
        <v>1113</v>
      </c>
      <c r="I50" s="349" t="s">
        <v>377</v>
      </c>
      <c r="J50" s="758">
        <f>VLOOKUP($A50,'Tower configuration'!$A$4:$Q$51,15,FALSE)</f>
        <v>105</v>
      </c>
      <c r="K50" s="759" t="str">
        <f>VLOOKUP($A50,'Tower configuration'!$A$4:$Q$51,16,FALSE)</f>
        <v>Guyed</v>
      </c>
      <c r="L50" s="759">
        <f>VLOOKUP($A50,'Tower configuration'!$A$4:$Q$51,17,FALSE)</f>
        <v>9</v>
      </c>
      <c r="M50" s="567" t="str">
        <f>VLOOKUP(A50,'Tower configuration'!$A$4:$DM$51,20,FALSE)</f>
        <v>Standard</v>
      </c>
      <c r="N50" s="567" t="str">
        <f>VLOOKUP(A50,'Tower configuration'!$A$4:$DM$51,21,FALSE)</f>
        <v>Standard</v>
      </c>
      <c r="O50" s="12"/>
      <c r="P50" s="353" t="s">
        <v>378</v>
      </c>
      <c r="Q50" s="776">
        <f>VLOOKUP($A50,'Tower configuration'!$A$3:$DM$51,5,FALSE)</f>
        <v>6</v>
      </c>
      <c r="R50" s="12" t="s">
        <v>1170</v>
      </c>
      <c r="S50" s="12">
        <v>1</v>
      </c>
      <c r="T50" s="12">
        <v>2</v>
      </c>
      <c r="U50" s="528">
        <v>3</v>
      </c>
      <c r="V50" s="529" t="str">
        <f t="shared" si="0"/>
        <v>Combined</v>
      </c>
      <c r="W50" s="436" t="s">
        <v>430</v>
      </c>
      <c r="X50" s="551" t="s">
        <v>429</v>
      </c>
      <c r="Y50" s="551" t="s">
        <v>429</v>
      </c>
      <c r="Z50" s="764" t="str">
        <f t="shared" si="4"/>
        <v>C</v>
      </c>
      <c r="AA50" s="15" t="s">
        <v>249</v>
      </c>
      <c r="AB50" s="941" t="s">
        <v>1056</v>
      </c>
      <c r="AC50" s="12" t="s">
        <v>147</v>
      </c>
      <c r="AD50" s="741" t="str">
        <f t="shared" si="3"/>
        <v>Right</v>
      </c>
      <c r="AE50" s="349"/>
      <c r="AF50" s="348" t="s">
        <v>378</v>
      </c>
      <c r="AG50" s="12" t="s">
        <v>377</v>
      </c>
      <c r="AH50" s="974" t="s">
        <v>378</v>
      </c>
      <c r="AI50" s="12" t="s">
        <v>377</v>
      </c>
      <c r="AJ50" s="12">
        <v>42</v>
      </c>
      <c r="AK50" s="15" t="s">
        <v>203</v>
      </c>
      <c r="AL50" s="1077"/>
      <c r="AM50" s="348">
        <v>5</v>
      </c>
      <c r="AN50" s="12">
        <v>3</v>
      </c>
      <c r="AO50" s="12" t="s">
        <v>378</v>
      </c>
      <c r="AP50" s="1084" t="s">
        <v>963</v>
      </c>
      <c r="AQ50" s="1084">
        <v>5</v>
      </c>
      <c r="AR50" s="12" t="s">
        <v>377</v>
      </c>
      <c r="AS50" s="349" t="s">
        <v>378</v>
      </c>
      <c r="AT50" s="349" t="s">
        <v>1028</v>
      </c>
      <c r="AU50" s="1135" t="s">
        <v>378</v>
      </c>
      <c r="AV50" s="951"/>
    </row>
    <row r="51" spans="1:48" s="45" customFormat="1" ht="15.75" thickBot="1" x14ac:dyDescent="0.3">
      <c r="A51" s="570" t="s">
        <v>274</v>
      </c>
      <c r="B51" s="47" t="s">
        <v>1087</v>
      </c>
      <c r="C51" s="47" t="s">
        <v>498</v>
      </c>
      <c r="D51" s="571" t="s">
        <v>274</v>
      </c>
      <c r="E51" s="572" t="s">
        <v>128</v>
      </c>
      <c r="F51" s="573" t="s">
        <v>127</v>
      </c>
      <c r="G51" s="47" t="s">
        <v>378</v>
      </c>
      <c r="H51" s="574" t="s">
        <v>1114</v>
      </c>
      <c r="I51" s="99" t="s">
        <v>377</v>
      </c>
      <c r="J51" s="762">
        <f>VLOOKUP($A51,'Tower configuration'!$A$4:$Q$51,15,FALSE)</f>
        <v>26</v>
      </c>
      <c r="K51" s="763" t="str">
        <f>VLOOKUP($A51,'Tower configuration'!$A$4:$Q$51,16,FALSE)</f>
        <v>Self Supporting</v>
      </c>
      <c r="L51" s="763">
        <f>VLOOKUP($A51,'Tower configuration'!$A$4:$Q$51,17,FALSE)</f>
        <v>2</v>
      </c>
      <c r="M51" s="576" t="str">
        <f>VLOOKUP(A51,'Tower configuration'!$A$4:$DM$51,20,FALSE)</f>
        <v>Standard</v>
      </c>
      <c r="N51" s="576" t="str">
        <f>VLOOKUP(A51,'Tower configuration'!$A$4:$DM$51,21,FALSE)</f>
        <v>Standard</v>
      </c>
      <c r="O51" s="575">
        <v>0</v>
      </c>
      <c r="P51" s="353" t="s">
        <v>378</v>
      </c>
      <c r="Q51" s="782">
        <f>VLOOKUP($A51,'Tower configuration'!$A$3:$DM$51,5,FALSE)</f>
        <v>4</v>
      </c>
      <c r="R51" s="574" t="s">
        <v>1169</v>
      </c>
      <c r="S51" s="574">
        <v>1</v>
      </c>
      <c r="T51" s="574">
        <v>2</v>
      </c>
      <c r="U51" s="574">
        <v>3</v>
      </c>
      <c r="V51" s="99" t="str">
        <f t="shared" si="0"/>
        <v>Split</v>
      </c>
      <c r="W51" s="575" t="s">
        <v>428</v>
      </c>
      <c r="X51" s="574" t="s">
        <v>429</v>
      </c>
      <c r="Y51" s="574" t="s">
        <v>143</v>
      </c>
      <c r="Z51" s="769" t="str">
        <f t="shared" si="4"/>
        <v>D</v>
      </c>
      <c r="AA51" s="574" t="s">
        <v>249</v>
      </c>
      <c r="AB51" s="574" t="s">
        <v>248</v>
      </c>
      <c r="AC51" s="574" t="s">
        <v>146</v>
      </c>
      <c r="AD51" s="763" t="str">
        <f t="shared" si="3"/>
        <v>Right</v>
      </c>
      <c r="AE51" s="99"/>
      <c r="AF51" s="575" t="s">
        <v>377</v>
      </c>
      <c r="AG51" s="574" t="s">
        <v>377</v>
      </c>
      <c r="AH51" s="979" t="s">
        <v>378</v>
      </c>
      <c r="AI51" s="574" t="s">
        <v>377</v>
      </c>
      <c r="AJ51" s="574">
        <v>42</v>
      </c>
      <c r="AK51" s="576" t="s">
        <v>203</v>
      </c>
      <c r="AL51" s="1082"/>
      <c r="AM51" s="1085"/>
      <c r="AN51" s="574">
        <v>3</v>
      </c>
      <c r="AO51" s="574" t="s">
        <v>378</v>
      </c>
      <c r="AP51" s="574"/>
      <c r="AQ51" s="574"/>
      <c r="AR51" s="574"/>
      <c r="AS51" s="99" t="s">
        <v>378</v>
      </c>
      <c r="AT51" s="99"/>
      <c r="AU51" s="99" t="s">
        <v>378</v>
      </c>
    </row>
    <row r="52" spans="1:48" s="45" customFormat="1" x14ac:dyDescent="0.25">
      <c r="A52" s="49"/>
      <c r="B52" s="49"/>
      <c r="C52" s="49"/>
      <c r="J52" s="49"/>
      <c r="K52" s="49"/>
      <c r="L52" s="49"/>
      <c r="N52" s="49"/>
      <c r="O52" s="49"/>
      <c r="P52" s="49"/>
      <c r="Q52" s="49"/>
      <c r="S52" s="49"/>
      <c r="T52" s="49"/>
      <c r="U52" s="49"/>
      <c r="V52" s="49"/>
      <c r="Z52" s="49"/>
      <c r="AA52" s="49"/>
      <c r="AB52" s="49"/>
      <c r="AC52" s="49"/>
      <c r="AL52" s="951"/>
      <c r="AN52" s="49"/>
      <c r="AO52" s="49"/>
      <c r="AP52" s="49"/>
      <c r="AQ52" s="49"/>
    </row>
    <row r="53" spans="1:48" s="45" customFormat="1" x14ac:dyDescent="0.25">
      <c r="A53" s="49"/>
      <c r="B53" s="49"/>
      <c r="C53" s="49"/>
      <c r="J53" s="49"/>
      <c r="K53" s="49"/>
      <c r="L53" s="49"/>
      <c r="N53" s="49" t="s">
        <v>515</v>
      </c>
      <c r="O53" s="49"/>
      <c r="P53" s="49"/>
      <c r="Q53" s="49">
        <f>SUM(Q4:Q50)</f>
        <v>240</v>
      </c>
      <c r="S53" s="49"/>
      <c r="T53" s="49"/>
      <c r="U53" s="49"/>
      <c r="V53" s="49"/>
      <c r="Z53" s="49"/>
      <c r="AA53" s="49"/>
      <c r="AB53" s="49"/>
      <c r="AC53" s="49"/>
      <c r="AL53" s="951"/>
      <c r="AN53" s="49"/>
      <c r="AO53" s="49"/>
      <c r="AP53" s="49"/>
      <c r="AQ53" s="49"/>
    </row>
    <row r="54" spans="1:48" s="45" customFormat="1" hidden="1" x14ac:dyDescent="0.25">
      <c r="A54" s="49"/>
      <c r="B54" s="49"/>
      <c r="C54" s="49"/>
      <c r="J54" s="49"/>
      <c r="K54" s="49"/>
      <c r="L54" s="49"/>
      <c r="N54" s="49"/>
      <c r="O54" s="49"/>
      <c r="P54" s="49"/>
      <c r="Q54" s="49"/>
      <c r="S54" s="49"/>
      <c r="T54" s="49"/>
      <c r="U54" s="49"/>
      <c r="V54" s="49"/>
      <c r="W54" s="578" t="s">
        <v>410</v>
      </c>
      <c r="X54" s="578" t="s">
        <v>412</v>
      </c>
      <c r="Y54" s="578" t="s">
        <v>413</v>
      </c>
      <c r="Z54" s="49"/>
      <c r="AA54" s="49"/>
      <c r="AB54" s="49"/>
      <c r="AC54" s="49"/>
      <c r="AL54" s="951"/>
      <c r="AN54" s="49"/>
      <c r="AO54" s="49"/>
      <c r="AP54" s="49"/>
      <c r="AQ54" s="49"/>
    </row>
    <row r="55" spans="1:48" s="45" customFormat="1" hidden="1" x14ac:dyDescent="0.25">
      <c r="A55" s="49"/>
      <c r="B55" s="49"/>
      <c r="C55" s="49"/>
      <c r="J55" s="49"/>
      <c r="K55" s="49"/>
      <c r="L55" s="49"/>
      <c r="N55" s="49"/>
      <c r="O55" s="49"/>
      <c r="P55" s="49"/>
      <c r="Q55" s="49"/>
      <c r="S55" s="49"/>
      <c r="T55" s="49"/>
      <c r="U55" s="49"/>
      <c r="V55" s="49"/>
      <c r="W55" s="579">
        <v>0</v>
      </c>
      <c r="X55" s="580">
        <v>0</v>
      </c>
      <c r="Y55" s="581">
        <v>0</v>
      </c>
      <c r="Z55" s="49"/>
      <c r="AA55" s="49"/>
      <c r="AB55" s="49"/>
      <c r="AC55" s="49"/>
      <c r="AL55" s="951"/>
      <c r="AN55" s="49"/>
      <c r="AO55" s="49"/>
      <c r="AP55" s="49"/>
      <c r="AQ55" s="49"/>
    </row>
    <row r="56" spans="1:48" s="45" customFormat="1" hidden="1" x14ac:dyDescent="0.25">
      <c r="A56" s="49"/>
      <c r="B56" s="49"/>
      <c r="C56" s="49"/>
      <c r="J56" s="49"/>
      <c r="K56" s="49"/>
      <c r="L56" s="49" t="s">
        <v>44</v>
      </c>
      <c r="N56" s="49" t="s">
        <v>94</v>
      </c>
      <c r="O56" s="49"/>
      <c r="P56" s="49"/>
      <c r="Q56" s="49" t="s">
        <v>405</v>
      </c>
      <c r="S56" s="49"/>
      <c r="T56" s="49"/>
      <c r="U56" s="49"/>
      <c r="V56" s="49"/>
      <c r="W56" s="579">
        <v>5</v>
      </c>
      <c r="X56" s="580">
        <v>0</v>
      </c>
      <c r="Y56" s="581">
        <v>0</v>
      </c>
      <c r="Z56" s="49"/>
      <c r="AA56" s="49"/>
      <c r="AB56" s="49"/>
      <c r="AC56" s="49"/>
      <c r="AL56" s="951"/>
      <c r="AN56" s="49"/>
      <c r="AO56" s="49"/>
      <c r="AP56" s="49"/>
      <c r="AQ56" s="49"/>
    </row>
    <row r="57" spans="1:48" s="45" customFormat="1" hidden="1" x14ac:dyDescent="0.25">
      <c r="A57" s="49"/>
      <c r="B57" s="49"/>
      <c r="C57" s="49"/>
      <c r="J57" s="49"/>
      <c r="K57" s="49"/>
      <c r="L57" s="49"/>
      <c r="N57" s="49"/>
      <c r="O57" s="49"/>
      <c r="P57" s="49"/>
      <c r="Q57" s="49"/>
      <c r="S57" s="49"/>
      <c r="T57" s="49"/>
      <c r="U57" s="49"/>
      <c r="V57" s="49"/>
      <c r="W57" s="579">
        <v>10</v>
      </c>
      <c r="X57" s="580">
        <v>1</v>
      </c>
      <c r="Y57" s="581">
        <v>1.6393442622950821E-2</v>
      </c>
      <c r="Z57" s="49"/>
      <c r="AA57" s="49"/>
      <c r="AB57" s="49"/>
      <c r="AC57" s="49"/>
      <c r="AL57" s="951"/>
      <c r="AN57" s="49"/>
      <c r="AO57" s="49"/>
      <c r="AP57" s="49"/>
      <c r="AQ57" s="49"/>
    </row>
    <row r="58" spans="1:48" s="45" customFormat="1" hidden="1" x14ac:dyDescent="0.25">
      <c r="A58" s="49"/>
      <c r="B58" s="49"/>
      <c r="C58" s="49"/>
      <c r="J58" s="49"/>
      <c r="K58" s="49"/>
      <c r="L58" s="49"/>
      <c r="N58" s="49"/>
      <c r="O58" s="49"/>
      <c r="P58" s="49"/>
      <c r="Q58" s="49"/>
      <c r="S58" s="49"/>
      <c r="T58" s="49"/>
      <c r="U58" s="49"/>
      <c r="V58" s="49"/>
      <c r="W58" s="579">
        <v>15</v>
      </c>
      <c r="X58" s="580">
        <v>4</v>
      </c>
      <c r="Y58" s="581">
        <v>8.1967213114754092E-2</v>
      </c>
      <c r="Z58" s="49"/>
      <c r="AA58" s="49"/>
      <c r="AB58" s="49"/>
      <c r="AC58" s="49"/>
      <c r="AL58" s="951"/>
      <c r="AN58" s="49"/>
      <c r="AO58" s="49"/>
      <c r="AP58" s="49"/>
      <c r="AQ58" s="49"/>
    </row>
    <row r="59" spans="1:48" s="45" customFormat="1" hidden="1" x14ac:dyDescent="0.25">
      <c r="A59" s="49"/>
      <c r="B59" s="49"/>
      <c r="C59" s="49"/>
      <c r="J59" s="49"/>
      <c r="K59" s="49"/>
      <c r="L59" s="49"/>
      <c r="N59" s="49"/>
      <c r="O59" s="49"/>
      <c r="P59" s="49"/>
      <c r="Q59" s="49"/>
      <c r="S59" s="49"/>
      <c r="T59" s="49"/>
      <c r="U59" s="49"/>
      <c r="V59" s="49"/>
      <c r="W59" s="579">
        <v>20</v>
      </c>
      <c r="X59" s="580">
        <v>6</v>
      </c>
      <c r="Y59" s="581">
        <v>0.18032786885245902</v>
      </c>
      <c r="Z59" s="49"/>
      <c r="AA59" s="49"/>
      <c r="AB59" s="49"/>
      <c r="AC59" s="49"/>
      <c r="AL59" s="951"/>
      <c r="AN59" s="49"/>
      <c r="AO59" s="49"/>
      <c r="AP59" s="49"/>
      <c r="AQ59" s="49"/>
    </row>
    <row r="60" spans="1:48" s="45" customFormat="1" hidden="1" x14ac:dyDescent="0.25">
      <c r="A60" s="49"/>
      <c r="B60" s="49"/>
      <c r="C60" s="49"/>
      <c r="J60" s="49"/>
      <c r="K60" s="49"/>
      <c r="L60" s="49"/>
      <c r="N60" s="49"/>
      <c r="O60" s="49"/>
      <c r="P60" s="49"/>
      <c r="Q60" s="49"/>
      <c r="S60" s="49"/>
      <c r="T60" s="49"/>
      <c r="U60" s="49"/>
      <c r="V60" s="49"/>
      <c r="W60" s="579">
        <v>25</v>
      </c>
      <c r="X60" s="580">
        <v>7</v>
      </c>
      <c r="Y60" s="581">
        <v>0.29508196721311475</v>
      </c>
      <c r="Z60" s="49"/>
      <c r="AA60" s="49"/>
      <c r="AB60" s="49"/>
      <c r="AC60" s="49"/>
      <c r="AL60" s="951"/>
      <c r="AN60" s="49"/>
      <c r="AO60" s="49"/>
      <c r="AP60" s="49"/>
      <c r="AQ60" s="49"/>
    </row>
    <row r="61" spans="1:48" s="45" customFormat="1" hidden="1" x14ac:dyDescent="0.25">
      <c r="A61" s="49"/>
      <c r="B61" s="49"/>
      <c r="C61" s="49"/>
      <c r="J61" s="49"/>
      <c r="K61" s="49"/>
      <c r="L61" s="49"/>
      <c r="N61" s="49"/>
      <c r="O61" s="49"/>
      <c r="P61" s="49"/>
      <c r="Q61" s="49"/>
      <c r="S61" s="49"/>
      <c r="T61" s="49"/>
      <c r="U61" s="49"/>
      <c r="V61" s="49"/>
      <c r="W61" s="579">
        <v>30</v>
      </c>
      <c r="X61" s="580">
        <v>4</v>
      </c>
      <c r="Y61" s="581">
        <v>0.36065573770491804</v>
      </c>
      <c r="Z61" s="49"/>
      <c r="AA61" s="49"/>
      <c r="AB61" s="49"/>
      <c r="AC61" s="49"/>
      <c r="AL61" s="951"/>
      <c r="AN61" s="49"/>
      <c r="AO61" s="49"/>
      <c r="AP61" s="49"/>
      <c r="AQ61" s="49"/>
    </row>
    <row r="62" spans="1:48" s="45" customFormat="1" hidden="1" x14ac:dyDescent="0.25">
      <c r="A62" s="49"/>
      <c r="B62" s="49"/>
      <c r="C62" s="49"/>
      <c r="J62" s="49"/>
      <c r="K62" s="49"/>
      <c r="L62" s="49"/>
      <c r="N62" s="49"/>
      <c r="O62" s="49"/>
      <c r="P62" s="49"/>
      <c r="Q62" s="49"/>
      <c r="S62" s="49"/>
      <c r="T62" s="49"/>
      <c r="U62" s="49"/>
      <c r="V62" s="49"/>
      <c r="W62" s="579">
        <v>35</v>
      </c>
      <c r="X62" s="580">
        <v>6</v>
      </c>
      <c r="Y62" s="581">
        <v>0.45901639344262296</v>
      </c>
      <c r="Z62" s="49"/>
      <c r="AA62" s="49"/>
      <c r="AB62" s="49"/>
      <c r="AC62" s="49"/>
      <c r="AL62" s="951"/>
      <c r="AN62" s="49"/>
      <c r="AO62" s="49"/>
      <c r="AP62" s="49"/>
      <c r="AQ62" s="49"/>
    </row>
    <row r="63" spans="1:48" s="45" customFormat="1" hidden="1" x14ac:dyDescent="0.25">
      <c r="A63" s="49"/>
      <c r="B63" s="49"/>
      <c r="C63" s="49"/>
      <c r="J63" s="49"/>
      <c r="K63" s="49"/>
      <c r="L63" s="49"/>
      <c r="N63" s="49"/>
      <c r="O63" s="49"/>
      <c r="P63" s="49"/>
      <c r="Q63" s="49"/>
      <c r="S63" s="49"/>
      <c r="T63" s="49"/>
      <c r="U63" s="49"/>
      <c r="V63" s="49"/>
      <c r="W63" s="579">
        <v>40</v>
      </c>
      <c r="X63" s="580">
        <v>5</v>
      </c>
      <c r="Y63" s="581">
        <v>0.54098360655737709</v>
      </c>
      <c r="Z63" s="49"/>
      <c r="AA63" s="49"/>
      <c r="AB63" s="49"/>
      <c r="AC63" s="49"/>
      <c r="AL63" s="951"/>
      <c r="AN63" s="49"/>
      <c r="AO63" s="49"/>
      <c r="AP63" s="49"/>
      <c r="AQ63" s="49"/>
    </row>
    <row r="64" spans="1:48" s="45" customFormat="1" hidden="1" x14ac:dyDescent="0.25">
      <c r="A64" s="49"/>
      <c r="B64" s="49"/>
      <c r="C64" s="49"/>
      <c r="J64" s="49"/>
      <c r="K64" s="49"/>
      <c r="L64" s="49"/>
      <c r="N64" s="49"/>
      <c r="O64" s="49"/>
      <c r="P64" s="49"/>
      <c r="Q64" s="49"/>
      <c r="S64" s="49"/>
      <c r="T64" s="49"/>
      <c r="U64" s="49"/>
      <c r="V64" s="49"/>
      <c r="W64" s="579">
        <v>45</v>
      </c>
      <c r="X64" s="580">
        <v>6</v>
      </c>
      <c r="Y64" s="581">
        <v>0.63934426229508201</v>
      </c>
      <c r="Z64" s="49"/>
      <c r="AA64" s="49"/>
      <c r="AB64" s="49"/>
      <c r="AC64" s="49"/>
      <c r="AL64" s="951"/>
      <c r="AN64" s="49"/>
      <c r="AO64" s="49"/>
      <c r="AP64" s="49"/>
      <c r="AQ64" s="49"/>
    </row>
    <row r="65" spans="1:43" s="45" customFormat="1" hidden="1" x14ac:dyDescent="0.25">
      <c r="A65" s="49"/>
      <c r="B65" s="49"/>
      <c r="C65" s="49"/>
      <c r="J65" s="49"/>
      <c r="K65" s="49"/>
      <c r="L65" s="49"/>
      <c r="N65" s="49"/>
      <c r="O65" s="49"/>
      <c r="P65" s="49"/>
      <c r="Q65" s="49"/>
      <c r="S65" s="49"/>
      <c r="T65" s="49"/>
      <c r="U65" s="49"/>
      <c r="V65" s="49"/>
      <c r="W65" s="579">
        <v>50</v>
      </c>
      <c r="X65" s="580">
        <v>11</v>
      </c>
      <c r="Y65" s="581">
        <v>0.81967213114754101</v>
      </c>
      <c r="Z65" s="49"/>
      <c r="AA65" s="49"/>
      <c r="AB65" s="49"/>
      <c r="AC65" s="49"/>
      <c r="AL65" s="951"/>
      <c r="AN65" s="49"/>
      <c r="AO65" s="49"/>
      <c r="AP65" s="49"/>
      <c r="AQ65" s="49"/>
    </row>
    <row r="66" spans="1:43" s="45" customFormat="1" hidden="1" x14ac:dyDescent="0.25">
      <c r="A66" s="49"/>
      <c r="B66" s="49"/>
      <c r="C66" s="49"/>
      <c r="J66" s="49"/>
      <c r="K66" s="49"/>
      <c r="L66" s="49"/>
      <c r="N66" s="49"/>
      <c r="O66" s="49"/>
      <c r="P66" s="49"/>
      <c r="Q66" s="49"/>
      <c r="S66" s="49"/>
      <c r="T66" s="49"/>
      <c r="U66" s="49"/>
      <c r="V66" s="49"/>
      <c r="W66" s="579">
        <v>55</v>
      </c>
      <c r="X66" s="580">
        <v>6</v>
      </c>
      <c r="Y66" s="581">
        <v>0.91803278688524592</v>
      </c>
      <c r="Z66" s="49"/>
      <c r="AA66" s="49"/>
      <c r="AB66" s="49"/>
      <c r="AC66" s="49"/>
      <c r="AL66" s="951"/>
      <c r="AN66" s="49"/>
      <c r="AO66" s="49"/>
      <c r="AP66" s="49"/>
      <c r="AQ66" s="49"/>
    </row>
    <row r="67" spans="1:43" s="45" customFormat="1" hidden="1" x14ac:dyDescent="0.25">
      <c r="A67" s="49"/>
      <c r="B67" s="49"/>
      <c r="C67" s="49"/>
      <c r="J67" s="49"/>
      <c r="K67" s="49"/>
      <c r="L67" s="49"/>
      <c r="N67" s="49"/>
      <c r="O67" s="49"/>
      <c r="P67" s="49"/>
      <c r="Q67" s="49"/>
      <c r="S67" s="49"/>
      <c r="T67" s="49"/>
      <c r="U67" s="49"/>
      <c r="V67" s="49"/>
      <c r="W67" s="579">
        <v>60</v>
      </c>
      <c r="X67" s="580">
        <v>4</v>
      </c>
      <c r="Y67" s="581">
        <v>0.98360655737704916</v>
      </c>
      <c r="Z67" s="49"/>
      <c r="AA67" s="49"/>
      <c r="AB67" s="49"/>
      <c r="AC67" s="49"/>
      <c r="AL67" s="951"/>
      <c r="AN67" s="49"/>
      <c r="AO67" s="49"/>
      <c r="AP67" s="49"/>
      <c r="AQ67" s="49"/>
    </row>
    <row r="68" spans="1:43" s="45" customFormat="1" hidden="1" x14ac:dyDescent="0.25">
      <c r="A68" s="49"/>
      <c r="B68" s="49"/>
      <c r="C68" s="49"/>
      <c r="J68" s="49"/>
      <c r="K68" s="49"/>
      <c r="L68" s="49"/>
      <c r="N68" s="49"/>
      <c r="O68" s="49"/>
      <c r="P68" s="49"/>
      <c r="Q68" s="49"/>
      <c r="S68" s="49"/>
      <c r="T68" s="49"/>
      <c r="U68" s="49"/>
      <c r="V68" s="49"/>
      <c r="W68" s="579">
        <v>65</v>
      </c>
      <c r="X68" s="580">
        <v>0</v>
      </c>
      <c r="Y68" s="581">
        <v>0.98360655737704916</v>
      </c>
      <c r="Z68" s="49"/>
      <c r="AA68" s="49"/>
      <c r="AB68" s="49"/>
      <c r="AC68" s="49"/>
      <c r="AL68" s="951"/>
      <c r="AN68" s="49"/>
      <c r="AO68" s="49"/>
      <c r="AP68" s="49"/>
      <c r="AQ68" s="49"/>
    </row>
    <row r="69" spans="1:43" s="45" customFormat="1" hidden="1" x14ac:dyDescent="0.25">
      <c r="A69" s="49"/>
      <c r="B69" s="49"/>
      <c r="C69" s="49"/>
      <c r="J69" s="49"/>
      <c r="K69" s="49"/>
      <c r="L69" s="49"/>
      <c r="N69" s="49"/>
      <c r="O69" s="49"/>
      <c r="P69" s="49"/>
      <c r="Q69" s="49"/>
      <c r="S69" s="49"/>
      <c r="T69" s="49"/>
      <c r="U69" s="49"/>
      <c r="V69" s="49"/>
      <c r="W69" s="579">
        <v>70</v>
      </c>
      <c r="X69" s="580">
        <v>1</v>
      </c>
      <c r="Y69" s="581">
        <v>1</v>
      </c>
      <c r="Z69" s="49"/>
      <c r="AA69" s="49"/>
      <c r="AB69" s="49"/>
      <c r="AC69" s="49"/>
      <c r="AL69" s="951"/>
      <c r="AN69" s="49"/>
      <c r="AO69" s="49"/>
      <c r="AP69" s="49"/>
      <c r="AQ69" s="49"/>
    </row>
    <row r="70" spans="1:43" s="45" customFormat="1" hidden="1" x14ac:dyDescent="0.25">
      <c r="A70" s="49"/>
      <c r="B70" s="49"/>
      <c r="C70" s="49"/>
      <c r="J70" s="49"/>
      <c r="K70" s="49"/>
      <c r="L70" s="49"/>
      <c r="N70" s="49"/>
      <c r="O70" s="49"/>
      <c r="P70" s="49"/>
      <c r="Q70" s="49"/>
      <c r="S70" s="49"/>
      <c r="T70" s="49"/>
      <c r="U70" s="49"/>
      <c r="V70" s="49"/>
      <c r="W70" s="579">
        <v>75</v>
      </c>
      <c r="X70" s="580">
        <v>0</v>
      </c>
      <c r="Y70" s="581">
        <v>1</v>
      </c>
      <c r="Z70" s="49"/>
      <c r="AA70" s="49"/>
      <c r="AB70" s="49"/>
      <c r="AC70" s="49"/>
      <c r="AL70" s="951"/>
      <c r="AN70" s="49"/>
      <c r="AO70" s="49"/>
      <c r="AP70" s="49"/>
      <c r="AQ70" s="49"/>
    </row>
    <row r="71" spans="1:43" s="45" customFormat="1" ht="15.75" hidden="1" thickBot="1" x14ac:dyDescent="0.3">
      <c r="A71" s="49"/>
      <c r="B71" s="49"/>
      <c r="C71" s="49"/>
      <c r="J71" s="49"/>
      <c r="K71" s="49"/>
      <c r="L71" s="49"/>
      <c r="N71" s="49"/>
      <c r="O71" s="49"/>
      <c r="P71" s="49"/>
      <c r="Q71" s="49"/>
      <c r="S71" s="49"/>
      <c r="T71" s="49"/>
      <c r="U71" s="49"/>
      <c r="V71" s="49"/>
      <c r="W71" s="582" t="s">
        <v>411</v>
      </c>
      <c r="X71" s="582">
        <v>0</v>
      </c>
      <c r="Y71" s="583">
        <v>1</v>
      </c>
      <c r="Z71" s="49"/>
      <c r="AA71" s="49"/>
      <c r="AB71" s="49"/>
      <c r="AC71" s="49"/>
      <c r="AL71" s="951"/>
      <c r="AN71" s="49"/>
      <c r="AO71" s="49"/>
      <c r="AP71" s="49"/>
      <c r="AQ71" s="49"/>
    </row>
    <row r="72" spans="1:43" s="45" customFormat="1" hidden="1" x14ac:dyDescent="0.25">
      <c r="A72" s="49"/>
      <c r="B72" s="49"/>
      <c r="C72" s="49"/>
      <c r="J72" s="49"/>
      <c r="K72" s="49"/>
      <c r="L72" s="49"/>
      <c r="N72" s="49"/>
      <c r="O72" s="49"/>
      <c r="P72" s="49"/>
      <c r="Q72" s="49"/>
      <c r="S72" s="49"/>
      <c r="T72" s="49"/>
      <c r="U72" s="49"/>
      <c r="V72" s="49"/>
      <c r="Z72" s="49"/>
      <c r="AA72" s="49"/>
      <c r="AB72" s="49"/>
      <c r="AC72" s="49"/>
      <c r="AL72" s="951"/>
      <c r="AN72" s="49"/>
      <c r="AO72" s="49"/>
      <c r="AP72" s="49"/>
      <c r="AQ72" s="49"/>
    </row>
    <row r="73" spans="1:43" s="45" customFormat="1" hidden="1" x14ac:dyDescent="0.25">
      <c r="A73" s="49"/>
      <c r="B73" s="49"/>
      <c r="C73" s="49"/>
      <c r="J73" s="49"/>
      <c r="K73" s="49"/>
      <c r="L73" s="49"/>
      <c r="N73" s="49"/>
      <c r="O73" s="49"/>
      <c r="P73" s="49"/>
      <c r="Q73" s="49"/>
      <c r="S73" s="49"/>
      <c r="T73" s="49"/>
      <c r="U73" s="49"/>
      <c r="V73" s="49"/>
      <c r="Z73" s="49"/>
      <c r="AA73" s="49"/>
      <c r="AB73" s="49"/>
      <c r="AC73" s="49"/>
      <c r="AL73" s="951"/>
      <c r="AN73" s="49"/>
      <c r="AO73" s="49"/>
      <c r="AP73" s="49"/>
      <c r="AQ73" s="49"/>
    </row>
    <row r="74" spans="1:43" s="45" customFormat="1" hidden="1" x14ac:dyDescent="0.25">
      <c r="A74" s="49"/>
      <c r="B74" s="49"/>
      <c r="C74" s="49"/>
      <c r="J74" s="49"/>
      <c r="K74" s="49"/>
      <c r="L74" s="49"/>
      <c r="N74" s="49"/>
      <c r="O74" s="49"/>
      <c r="P74" s="49"/>
      <c r="Q74" s="49"/>
      <c r="S74" s="49"/>
      <c r="T74" s="49"/>
      <c r="U74" s="49"/>
      <c r="V74" s="49"/>
      <c r="Z74" s="49"/>
      <c r="AA74" s="49"/>
      <c r="AB74" s="49"/>
      <c r="AC74" s="49"/>
      <c r="AL74" s="951"/>
      <c r="AN74" s="49"/>
      <c r="AO74" s="49"/>
      <c r="AP74" s="49"/>
      <c r="AQ74" s="49"/>
    </row>
    <row r="75" spans="1:43" s="45" customFormat="1" hidden="1" x14ac:dyDescent="0.25">
      <c r="A75" s="49"/>
      <c r="B75" s="49"/>
      <c r="C75" s="49"/>
      <c r="J75" s="49"/>
      <c r="K75" s="49"/>
      <c r="L75" s="49"/>
      <c r="N75" s="49"/>
      <c r="O75" s="49"/>
      <c r="P75" s="49"/>
      <c r="Q75" s="49"/>
      <c r="S75" s="49"/>
      <c r="T75" s="49"/>
      <c r="U75" s="49"/>
      <c r="V75" s="49"/>
      <c r="Z75" s="49"/>
      <c r="AA75" s="49"/>
      <c r="AB75" s="49"/>
      <c r="AC75" s="49"/>
      <c r="AL75" s="951"/>
      <c r="AN75" s="49"/>
      <c r="AO75" s="49"/>
      <c r="AP75" s="49"/>
      <c r="AQ75" s="49"/>
    </row>
    <row r="76" spans="1:43" s="45" customFormat="1" hidden="1" x14ac:dyDescent="0.25">
      <c r="A76" s="49"/>
      <c r="B76" s="49"/>
      <c r="C76" s="49"/>
      <c r="J76" s="49"/>
      <c r="K76" s="49"/>
      <c r="L76" s="49"/>
      <c r="N76" s="49"/>
      <c r="O76" s="49"/>
      <c r="P76" s="49"/>
      <c r="Q76" s="49"/>
      <c r="S76" s="49"/>
      <c r="T76" s="49"/>
      <c r="U76" s="49"/>
      <c r="V76" s="49"/>
      <c r="Z76" s="49"/>
      <c r="AA76" s="49"/>
      <c r="AB76" s="49"/>
      <c r="AC76" s="49"/>
      <c r="AL76" s="951"/>
      <c r="AN76" s="49"/>
      <c r="AO76" s="49"/>
      <c r="AP76" s="49"/>
      <c r="AQ76" s="49"/>
    </row>
    <row r="77" spans="1:43" s="45" customFormat="1" hidden="1" x14ac:dyDescent="0.25">
      <c r="A77" s="49"/>
      <c r="B77" s="49"/>
      <c r="C77" s="49"/>
      <c r="J77" s="49"/>
      <c r="K77" s="49"/>
      <c r="L77" s="49"/>
      <c r="N77" s="49"/>
      <c r="O77" s="49"/>
      <c r="P77" s="49"/>
      <c r="Q77" s="49"/>
      <c r="S77" s="49"/>
      <c r="T77" s="49"/>
      <c r="U77" s="49"/>
      <c r="V77" s="49"/>
      <c r="Z77" s="49"/>
      <c r="AA77" s="49"/>
      <c r="AB77" s="49"/>
      <c r="AC77" s="49"/>
      <c r="AL77" s="951"/>
      <c r="AN77" s="49"/>
      <c r="AO77" s="49"/>
      <c r="AP77" s="49"/>
      <c r="AQ77" s="49"/>
    </row>
    <row r="78" spans="1:43" s="45" customFormat="1" hidden="1" x14ac:dyDescent="0.25">
      <c r="A78" s="49"/>
      <c r="B78" s="49"/>
      <c r="C78" s="49"/>
      <c r="J78" s="49"/>
      <c r="K78" s="49"/>
      <c r="L78" s="49"/>
      <c r="N78" s="49"/>
      <c r="O78" s="49"/>
      <c r="P78" s="49"/>
      <c r="Q78" s="49"/>
      <c r="S78" s="49"/>
      <c r="T78" s="49"/>
      <c r="U78" s="49"/>
      <c r="V78" s="49"/>
      <c r="Z78" s="49"/>
      <c r="AA78" s="49"/>
      <c r="AB78" s="49"/>
      <c r="AC78" s="49"/>
      <c r="AL78" s="951"/>
      <c r="AN78" s="49"/>
      <c r="AO78" s="49"/>
      <c r="AP78" s="49"/>
      <c r="AQ78" s="49"/>
    </row>
    <row r="79" spans="1:43" s="45" customFormat="1" x14ac:dyDescent="0.25">
      <c r="A79" s="49"/>
      <c r="B79" s="49"/>
      <c r="C79" s="49"/>
      <c r="K79" s="49"/>
      <c r="L79" s="49"/>
      <c r="N79" s="49" t="s">
        <v>516</v>
      </c>
      <c r="O79" s="49">
        <v>180</v>
      </c>
      <c r="P79" s="49"/>
      <c r="Q79" s="49">
        <f>Q53-60</f>
        <v>180</v>
      </c>
      <c r="S79" s="49"/>
      <c r="T79" s="49"/>
      <c r="U79" s="49"/>
      <c r="V79" s="49"/>
      <c r="Z79" s="49"/>
      <c r="AA79" s="49"/>
      <c r="AB79" s="49"/>
      <c r="AC79" s="49"/>
      <c r="AL79" s="950"/>
      <c r="AN79" s="49"/>
      <c r="AO79" s="49"/>
      <c r="AP79" s="49"/>
      <c r="AQ79" s="49"/>
    </row>
    <row r="80" spans="1:43" s="45" customFormat="1" x14ac:dyDescent="0.25">
      <c r="A80" s="49"/>
      <c r="B80" s="49"/>
      <c r="C80" s="49"/>
      <c r="J80" s="49"/>
      <c r="K80" s="49"/>
      <c r="L80" s="49"/>
      <c r="N80" s="49" t="s">
        <v>517</v>
      </c>
      <c r="O80" s="49"/>
      <c r="P80" s="49"/>
      <c r="Q80" s="49">
        <f>Q79-60</f>
        <v>120</v>
      </c>
      <c r="S80" s="49"/>
      <c r="T80" s="49"/>
      <c r="U80" s="49"/>
      <c r="V80" s="49"/>
      <c r="Z80" s="49"/>
      <c r="AA80" s="49"/>
      <c r="AB80" s="49"/>
      <c r="AC80" s="49"/>
      <c r="AL80" s="950"/>
      <c r="AN80" s="49"/>
      <c r="AO80" s="49"/>
      <c r="AP80" s="49"/>
      <c r="AQ80" s="49"/>
    </row>
    <row r="81" spans="1:43" s="45" customFormat="1" x14ac:dyDescent="0.25">
      <c r="A81" s="49"/>
      <c r="B81" s="49"/>
      <c r="C81" s="49"/>
      <c r="J81" s="49"/>
      <c r="K81" s="49"/>
      <c r="L81" s="49"/>
      <c r="N81" s="49" t="s">
        <v>518</v>
      </c>
      <c r="O81" s="49"/>
      <c r="P81" s="49"/>
      <c r="Q81" s="49">
        <f>Q79-60</f>
        <v>120</v>
      </c>
      <c r="S81" s="49"/>
      <c r="T81" s="49"/>
      <c r="U81" s="49"/>
      <c r="V81" s="49"/>
      <c r="Z81" s="49"/>
      <c r="AA81" s="49"/>
      <c r="AB81" s="49"/>
      <c r="AC81" s="49"/>
      <c r="AL81" s="950"/>
      <c r="AN81" s="49"/>
      <c r="AO81" s="49"/>
      <c r="AP81" s="49"/>
      <c r="AQ81" s="49"/>
    </row>
    <row r="82" spans="1:43" s="45" customFormat="1" ht="15.75" thickBot="1" x14ac:dyDescent="0.3">
      <c r="A82" s="49"/>
      <c r="B82" s="49"/>
      <c r="C82" s="49"/>
      <c r="J82" s="49"/>
      <c r="K82" s="49"/>
      <c r="L82" s="49"/>
      <c r="N82" s="49"/>
      <c r="O82" s="49"/>
      <c r="P82" s="49"/>
      <c r="Q82" s="49"/>
      <c r="S82" s="49"/>
      <c r="T82" s="49"/>
      <c r="U82" s="49"/>
      <c r="V82" s="49"/>
      <c r="Z82" s="49"/>
      <c r="AA82" s="49"/>
      <c r="AB82" s="49"/>
      <c r="AC82" s="49"/>
      <c r="AL82" s="950"/>
      <c r="AN82" s="49"/>
      <c r="AO82" s="49"/>
      <c r="AP82" s="49"/>
      <c r="AQ82" s="49"/>
    </row>
    <row r="83" spans="1:43" s="45" customFormat="1" x14ac:dyDescent="0.25">
      <c r="A83" s="49"/>
      <c r="B83" s="49"/>
      <c r="C83" s="49"/>
      <c r="J83" s="49"/>
      <c r="K83" s="49"/>
      <c r="L83" s="49" t="str">
        <f>A4</f>
        <v>HARV</v>
      </c>
      <c r="M83" s="335" t="str">
        <f>'Tower configuration'!T4</f>
        <v>Standard</v>
      </c>
      <c r="N83" s="49" t="b">
        <f>M83=M4</f>
        <v>1</v>
      </c>
      <c r="O83" s="49"/>
      <c r="P83" s="898">
        <f t="shared" ref="P83:R84" si="5">S4</f>
        <v>2</v>
      </c>
      <c r="Q83" s="899">
        <f t="shared" si="5"/>
        <v>5</v>
      </c>
      <c r="R83" s="902">
        <f t="shared" si="5"/>
        <v>7</v>
      </c>
      <c r="S83" s="906">
        <f>'Tower configuration'!BG4</f>
        <v>1.0372524457170127</v>
      </c>
      <c r="T83" s="907">
        <f>'Tower configuration'!BH4</f>
        <v>4.3180923407301357</v>
      </c>
      <c r="U83" s="910">
        <f>'Tower configuration'!BI4</f>
        <v>6.4058995466475777</v>
      </c>
      <c r="V83" s="916">
        <f>ROUNDUP('Tower configuration'!BG4,0)</f>
        <v>2</v>
      </c>
      <c r="W83" s="917">
        <f>ROUNDUP('Tower configuration'!BH4,0)</f>
        <v>5</v>
      </c>
      <c r="X83" s="918">
        <f>ROUNDUP('Tower configuration'!BI4,0)</f>
        <v>7</v>
      </c>
      <c r="Y83" s="898" t="b">
        <f>P83=V83</f>
        <v>1</v>
      </c>
      <c r="Z83" s="550" t="b">
        <f t="shared" ref="Z83:Z142" si="6">Q83=W83</f>
        <v>1</v>
      </c>
      <c r="AA83" s="913" t="b">
        <f t="shared" ref="AA83:AA142" si="7">R83=X83</f>
        <v>1</v>
      </c>
      <c r="AB83" s="49"/>
      <c r="AC83" s="49"/>
      <c r="AL83" s="950"/>
      <c r="AN83" s="49"/>
      <c r="AO83" s="49"/>
      <c r="AP83" s="49"/>
      <c r="AQ83" s="49"/>
    </row>
    <row r="84" spans="1:43" s="45" customFormat="1" x14ac:dyDescent="0.25">
      <c r="A84" s="49"/>
      <c r="B84" s="49"/>
      <c r="C84" s="49"/>
      <c r="J84" s="49"/>
      <c r="K84" s="49"/>
      <c r="L84" s="49" t="str">
        <f>A5</f>
        <v>BART</v>
      </c>
      <c r="M84" s="335" t="str">
        <f>'Tower configuration'!T5</f>
        <v>Standard</v>
      </c>
      <c r="N84" s="49" t="b">
        <f>M84=M5</f>
        <v>1</v>
      </c>
      <c r="O84" s="49"/>
      <c r="P84" s="900">
        <f t="shared" si="5"/>
        <v>1</v>
      </c>
      <c r="Q84" s="522">
        <f t="shared" si="5"/>
        <v>5</v>
      </c>
      <c r="R84" s="903">
        <f t="shared" si="5"/>
        <v>6</v>
      </c>
      <c r="S84" s="919">
        <f>'Tower configuration'!BG5</f>
        <v>0.98469935576234802</v>
      </c>
      <c r="T84" s="905">
        <f>'Tower configuration'!BH5</f>
        <v>4.5637974230493921</v>
      </c>
      <c r="U84" s="920">
        <f>'Tower configuration'!BI5</f>
        <v>5.7568301121450736</v>
      </c>
      <c r="V84" s="900">
        <f>ROUNDUP('Tower configuration'!BG5,0)</f>
        <v>1</v>
      </c>
      <c r="W84" s="522">
        <f>ROUNDUP('Tower configuration'!BH5,0)</f>
        <v>5</v>
      </c>
      <c r="X84" s="903">
        <f>ROUNDUP('Tower configuration'!BI5,0)</f>
        <v>6</v>
      </c>
      <c r="Y84" s="900" t="b">
        <f t="shared" ref="Y84:Y142" si="8">P84=V84</f>
        <v>1</v>
      </c>
      <c r="Z84" s="335" t="b">
        <f t="shared" si="6"/>
        <v>1</v>
      </c>
      <c r="AA84" s="914" t="b">
        <f t="shared" si="7"/>
        <v>1</v>
      </c>
      <c r="AB84" s="49"/>
      <c r="AC84" s="49"/>
      <c r="AL84" s="950"/>
      <c r="AN84" s="49"/>
      <c r="AO84" s="49"/>
      <c r="AP84" s="49"/>
      <c r="AQ84" s="49"/>
    </row>
    <row r="85" spans="1:43" s="45" customFormat="1" x14ac:dyDescent="0.25">
      <c r="A85" s="49"/>
      <c r="B85" s="49"/>
      <c r="C85" s="49"/>
      <c r="J85" s="49"/>
      <c r="K85" s="49"/>
      <c r="L85" s="49" t="e">
        <f>#REF!</f>
        <v>#REF!</v>
      </c>
      <c r="M85" s="335" t="e">
        <f>'Tower configuration'!#REF!</f>
        <v>#REF!</v>
      </c>
      <c r="N85" s="49" t="e">
        <f>M85=#REF!</f>
        <v>#REF!</v>
      </c>
      <c r="O85" s="49"/>
      <c r="P85" s="900" t="e">
        <f>#REF!</f>
        <v>#REF!</v>
      </c>
      <c r="Q85" s="522" t="e">
        <f>#REF!</f>
        <v>#REF!</v>
      </c>
      <c r="R85" s="903" t="e">
        <f>#REF!</f>
        <v>#REF!</v>
      </c>
      <c r="S85" s="919" t="e">
        <f>'Tower configuration'!#REF!</f>
        <v>#REF!</v>
      </c>
      <c r="T85" s="905" t="e">
        <f>'Tower configuration'!#REF!</f>
        <v>#REF!</v>
      </c>
      <c r="U85" s="920" t="e">
        <f>'Tower configuration'!#REF!</f>
        <v>#REF!</v>
      </c>
      <c r="V85" s="900" t="e">
        <f>ROUNDUP('Tower configuration'!#REF!,0)</f>
        <v>#REF!</v>
      </c>
      <c r="W85" s="522" t="e">
        <f>ROUNDUP('Tower configuration'!#REF!,0)</f>
        <v>#REF!</v>
      </c>
      <c r="X85" s="903" t="e">
        <f>ROUNDUP('Tower configuration'!#REF!,0)</f>
        <v>#REF!</v>
      </c>
      <c r="Y85" s="900" t="e">
        <f t="shared" si="8"/>
        <v>#REF!</v>
      </c>
      <c r="Z85" s="335" t="e">
        <f t="shared" si="6"/>
        <v>#REF!</v>
      </c>
      <c r="AA85" s="914" t="e">
        <f t="shared" si="7"/>
        <v>#REF!</v>
      </c>
      <c r="AB85" s="49"/>
      <c r="AC85" s="49"/>
      <c r="AL85" s="950"/>
      <c r="AN85" s="49"/>
      <c r="AO85" s="49"/>
      <c r="AP85" s="49"/>
      <c r="AQ85" s="49"/>
    </row>
    <row r="86" spans="1:43" s="45" customFormat="1" x14ac:dyDescent="0.25">
      <c r="A86" s="49"/>
      <c r="B86" s="49"/>
      <c r="C86" s="49"/>
      <c r="J86" s="49"/>
      <c r="K86" s="49"/>
      <c r="L86" s="49" t="str">
        <f t="shared" ref="L86:L93" si="9">A6</f>
        <v>SCBI</v>
      </c>
      <c r="M86" s="335" t="str">
        <f>'Tower configuration'!T6</f>
        <v>Standard</v>
      </c>
      <c r="N86" s="49" t="b">
        <f t="shared" ref="N86:N93" si="10">M86=M6</f>
        <v>1</v>
      </c>
      <c r="O86" s="49"/>
      <c r="P86" s="900">
        <f t="shared" ref="P86:R93" si="11">S6</f>
        <v>2</v>
      </c>
      <c r="Q86" s="522">
        <f t="shared" si="11"/>
        <v>5</v>
      </c>
      <c r="R86" s="903">
        <f t="shared" si="11"/>
        <v>9</v>
      </c>
      <c r="S86" s="919">
        <f>'Tower configuration'!BG6</f>
        <v>1.8993602362204725</v>
      </c>
      <c r="T86" s="905">
        <f>'Tower configuration'!BH6</f>
        <v>4.8819419589596755</v>
      </c>
      <c r="U86" s="920">
        <f>'Tower configuration'!BI6</f>
        <v>8.4610400262467191</v>
      </c>
      <c r="V86" s="900">
        <f>ROUNDUP('Tower configuration'!BG6,0)</f>
        <v>2</v>
      </c>
      <c r="W86" s="522">
        <f>ROUNDUP('Tower configuration'!BH6,0)</f>
        <v>5</v>
      </c>
      <c r="X86" s="903">
        <f>ROUNDUP('Tower configuration'!BI6,0)</f>
        <v>9</v>
      </c>
      <c r="Y86" s="900" t="b">
        <f t="shared" si="8"/>
        <v>1</v>
      </c>
      <c r="Z86" s="335" t="b">
        <f t="shared" si="6"/>
        <v>1</v>
      </c>
      <c r="AA86" s="914" t="b">
        <f t="shared" si="7"/>
        <v>1</v>
      </c>
      <c r="AB86" s="49"/>
      <c r="AC86" s="49"/>
      <c r="AL86" s="950"/>
      <c r="AN86" s="49"/>
      <c r="AO86" s="49"/>
      <c r="AP86" s="49"/>
      <c r="AQ86" s="49"/>
    </row>
    <row r="87" spans="1:43" s="45" customFormat="1" x14ac:dyDescent="0.25">
      <c r="A87" s="49"/>
      <c r="B87" s="49"/>
      <c r="C87" s="49"/>
      <c r="J87" s="49"/>
      <c r="K87" s="49"/>
      <c r="L87" s="49" t="str">
        <f t="shared" si="9"/>
        <v>SERC</v>
      </c>
      <c r="M87" s="335" t="str">
        <f>'Tower configuration'!T7</f>
        <v>Heavy</v>
      </c>
      <c r="N87" s="49" t="b">
        <f t="shared" si="10"/>
        <v>1</v>
      </c>
      <c r="O87" s="49"/>
      <c r="P87" s="900">
        <f t="shared" si="11"/>
        <v>2</v>
      </c>
      <c r="Q87" s="522">
        <f t="shared" si="11"/>
        <v>5</v>
      </c>
      <c r="R87" s="903">
        <f t="shared" si="11"/>
        <v>9</v>
      </c>
      <c r="S87" s="919">
        <f>'Tower configuration'!BG7</f>
        <v>1.3056848007635411</v>
      </c>
      <c r="T87" s="905">
        <f>'Tower configuration'!BH7</f>
        <v>5.779557384872346</v>
      </c>
      <c r="U87" s="920">
        <f>'Tower configuration'!BI7</f>
        <v>10.55168814125507</v>
      </c>
      <c r="V87" s="900">
        <f>ROUNDUP('Tower configuration'!BG7,0)</f>
        <v>2</v>
      </c>
      <c r="W87" s="522">
        <f>ROUNDUP('Tower configuration'!BH7,0)</f>
        <v>6</v>
      </c>
      <c r="X87" s="903">
        <f>ROUNDUP('Tower configuration'!BI7,0)</f>
        <v>11</v>
      </c>
      <c r="Y87" s="900" t="b">
        <f t="shared" si="8"/>
        <v>1</v>
      </c>
      <c r="Z87" s="335" t="b">
        <f t="shared" si="6"/>
        <v>0</v>
      </c>
      <c r="AA87" s="914" t="b">
        <f t="shared" si="7"/>
        <v>0</v>
      </c>
      <c r="AB87" s="49"/>
      <c r="AC87" s="49"/>
      <c r="AL87" s="950"/>
      <c r="AN87" s="49"/>
      <c r="AO87" s="49"/>
      <c r="AP87" s="49"/>
      <c r="AQ87" s="49"/>
    </row>
    <row r="88" spans="1:43" s="45" customFormat="1" ht="15.75" x14ac:dyDescent="0.25">
      <c r="A88" s="628"/>
      <c r="B88" s="628"/>
      <c r="C88" s="628"/>
      <c r="D88" s="628"/>
      <c r="J88" s="49"/>
      <c r="K88" s="49"/>
      <c r="L88" s="49" t="str">
        <f t="shared" si="9"/>
        <v>BLAN</v>
      </c>
      <c r="M88" s="335" t="str">
        <f>'Tower configuration'!T8</f>
        <v>Standard</v>
      </c>
      <c r="N88" s="49" t="b">
        <f t="shared" si="10"/>
        <v>1</v>
      </c>
      <c r="O88" s="49"/>
      <c r="P88" s="900">
        <f t="shared" si="11"/>
        <v>1</v>
      </c>
      <c r="Q88" s="522">
        <f t="shared" si="11"/>
        <v>2</v>
      </c>
      <c r="R88" s="903">
        <f t="shared" si="11"/>
        <v>3</v>
      </c>
      <c r="S88" s="919">
        <f>'Tower configuration'!BG8</f>
        <v>0.24995526127415893</v>
      </c>
      <c r="T88" s="905">
        <f>'Tower configuration'!BH8</f>
        <v>0.78681997136721549</v>
      </c>
      <c r="U88" s="920">
        <f>'Tower configuration'!BI8</f>
        <v>2</v>
      </c>
      <c r="V88" s="900">
        <f>ROUNDUP('Tower configuration'!BG8,0)</f>
        <v>1</v>
      </c>
      <c r="W88" s="522">
        <f>ROUNDUP('Tower configuration'!BH8,0)</f>
        <v>1</v>
      </c>
      <c r="X88" s="903">
        <f>ROUNDUP('Tower configuration'!BI8,0)</f>
        <v>2</v>
      </c>
      <c r="Y88" s="900" t="b">
        <f t="shared" si="8"/>
        <v>1</v>
      </c>
      <c r="Z88" s="335" t="b">
        <f t="shared" si="6"/>
        <v>0</v>
      </c>
      <c r="AA88" s="914" t="b">
        <f t="shared" si="7"/>
        <v>0</v>
      </c>
      <c r="AB88" s="49"/>
      <c r="AC88" s="49"/>
      <c r="AL88" s="950"/>
      <c r="AN88" s="49"/>
      <c r="AO88" s="49"/>
      <c r="AP88" s="49"/>
      <c r="AQ88" s="49"/>
    </row>
    <row r="89" spans="1:43" s="45" customFormat="1" ht="15.75" x14ac:dyDescent="0.25">
      <c r="A89" s="628"/>
      <c r="B89" s="628"/>
      <c r="C89" s="628"/>
      <c r="D89" s="628"/>
      <c r="J89" s="49"/>
      <c r="K89" s="49"/>
      <c r="L89" s="49" t="str">
        <f t="shared" si="9"/>
        <v>OSBS</v>
      </c>
      <c r="M89" s="335" t="str">
        <f>'Tower configuration'!T9</f>
        <v>Standard</v>
      </c>
      <c r="N89" s="49" t="b">
        <f t="shared" si="10"/>
        <v>1</v>
      </c>
      <c r="O89" s="49"/>
      <c r="P89" s="900">
        <f t="shared" si="11"/>
        <v>1</v>
      </c>
      <c r="Q89" s="522">
        <f t="shared" si="11"/>
        <v>3</v>
      </c>
      <c r="R89" s="903">
        <f t="shared" si="11"/>
        <v>5</v>
      </c>
      <c r="S89" s="919">
        <f>'Tower configuration'!BG9</f>
        <v>0.49281197804819854</v>
      </c>
      <c r="T89" s="905">
        <f>'Tower configuration'!BH9</f>
        <v>2.4911417322834648</v>
      </c>
      <c r="U89" s="920">
        <f>'Tower configuration'!BI9</f>
        <v>3.982432593653066</v>
      </c>
      <c r="V89" s="900">
        <f>ROUNDUP('Tower configuration'!BG9,0)</f>
        <v>1</v>
      </c>
      <c r="W89" s="522">
        <f>ROUNDUP('Tower configuration'!BH9,0)</f>
        <v>3</v>
      </c>
      <c r="X89" s="903">
        <f>ROUNDUP('Tower configuration'!BI9,0)</f>
        <v>4</v>
      </c>
      <c r="Y89" s="900" t="b">
        <f t="shared" si="8"/>
        <v>1</v>
      </c>
      <c r="Z89" s="335" t="b">
        <f t="shared" si="6"/>
        <v>1</v>
      </c>
      <c r="AA89" s="914" t="b">
        <f t="shared" si="7"/>
        <v>0</v>
      </c>
      <c r="AB89" s="49"/>
      <c r="AC89" s="49"/>
      <c r="AL89" s="950"/>
      <c r="AN89" s="49"/>
      <c r="AO89" s="49"/>
      <c r="AP89" s="49"/>
      <c r="AQ89" s="49"/>
    </row>
    <row r="90" spans="1:43" s="45" customFormat="1" ht="15.75" x14ac:dyDescent="0.25">
      <c r="A90" s="628"/>
      <c r="B90" s="628"/>
      <c r="C90" s="628"/>
      <c r="D90" s="628"/>
      <c r="J90" s="49"/>
      <c r="K90" s="49"/>
      <c r="L90" s="49" t="str">
        <f t="shared" si="9"/>
        <v>DSNY</v>
      </c>
      <c r="M90" s="335" t="str">
        <f>'Tower configuration'!T10</f>
        <v>Standard</v>
      </c>
      <c r="N90" s="49" t="b">
        <f t="shared" si="10"/>
        <v>1</v>
      </c>
      <c r="O90" s="49"/>
      <c r="P90" s="900">
        <f t="shared" si="11"/>
        <v>1</v>
      </c>
      <c r="Q90" s="522">
        <f t="shared" si="11"/>
        <v>2</v>
      </c>
      <c r="R90" s="903">
        <f t="shared" si="11"/>
        <v>3</v>
      </c>
      <c r="S90" s="919">
        <f>'Tower configuration'!BG10</f>
        <v>0.33943271295633504</v>
      </c>
      <c r="T90" s="905">
        <f>'Tower configuration'!BH10</f>
        <v>1.0850781436411359</v>
      </c>
      <c r="U90" s="920">
        <f>'Tower configuration'!BI10</f>
        <v>2</v>
      </c>
      <c r="V90" s="900">
        <f>ROUNDUP('Tower configuration'!BG10,0)</f>
        <v>1</v>
      </c>
      <c r="W90" s="522">
        <f>ROUNDUP('Tower configuration'!BH10,0)</f>
        <v>2</v>
      </c>
      <c r="X90" s="903">
        <f>ROUNDUP('Tower configuration'!BI10,0)</f>
        <v>2</v>
      </c>
      <c r="Y90" s="900" t="b">
        <f t="shared" si="8"/>
        <v>1</v>
      </c>
      <c r="Z90" s="335" t="b">
        <f t="shared" si="6"/>
        <v>1</v>
      </c>
      <c r="AA90" s="914" t="b">
        <f t="shared" si="7"/>
        <v>0</v>
      </c>
      <c r="AB90" s="49"/>
      <c r="AC90" s="49"/>
      <c r="AL90" s="950"/>
      <c r="AN90" s="49"/>
      <c r="AO90" s="49"/>
      <c r="AP90" s="49"/>
      <c r="AQ90" s="49"/>
    </row>
    <row r="91" spans="1:43" s="45" customFormat="1" ht="15.75" x14ac:dyDescent="0.25">
      <c r="A91" s="628"/>
      <c r="B91" s="628"/>
      <c r="C91" s="628"/>
      <c r="D91" s="628"/>
      <c r="J91" s="49"/>
      <c r="K91" s="49"/>
      <c r="L91" s="49" t="str">
        <f t="shared" si="9"/>
        <v>JERC</v>
      </c>
      <c r="M91" s="335" t="str">
        <f>'Tower configuration'!T11</f>
        <v>Heavy</v>
      </c>
      <c r="N91" s="49" t="b">
        <f t="shared" si="10"/>
        <v>1</v>
      </c>
      <c r="O91" s="49"/>
      <c r="P91" s="900">
        <f t="shared" si="11"/>
        <v>2</v>
      </c>
      <c r="Q91" s="522">
        <f t="shared" si="11"/>
        <v>5</v>
      </c>
      <c r="R91" s="903">
        <f t="shared" si="11"/>
        <v>7</v>
      </c>
      <c r="S91" s="919">
        <f>'Tower configuration'!BG11</f>
        <v>1.8718981150083513</v>
      </c>
      <c r="T91" s="905">
        <f>'Tower configuration'!BH11</f>
        <v>4.5562216654736343</v>
      </c>
      <c r="U91" s="920">
        <f>'Tower configuration'!BI11</f>
        <v>6.6440288713910753</v>
      </c>
      <c r="V91" s="900">
        <f>ROUNDUP('Tower configuration'!BG11,0)</f>
        <v>2</v>
      </c>
      <c r="W91" s="522">
        <f>ROUNDUP('Tower configuration'!BH11,0)</f>
        <v>5</v>
      </c>
      <c r="X91" s="903">
        <f>ROUNDUP('Tower configuration'!BI11,0)</f>
        <v>7</v>
      </c>
      <c r="Y91" s="900" t="b">
        <f t="shared" si="8"/>
        <v>1</v>
      </c>
      <c r="Z91" s="335" t="b">
        <f t="shared" si="6"/>
        <v>1</v>
      </c>
      <c r="AA91" s="914" t="b">
        <f t="shared" si="7"/>
        <v>1</v>
      </c>
      <c r="AB91" s="49"/>
      <c r="AC91" s="49"/>
      <c r="AL91" s="950"/>
      <c r="AN91" s="49"/>
      <c r="AO91" s="49"/>
      <c r="AP91" s="49"/>
      <c r="AQ91" s="49"/>
    </row>
    <row r="92" spans="1:43" ht="15.75" x14ac:dyDescent="0.25">
      <c r="A92" s="628"/>
      <c r="B92" s="628"/>
      <c r="C92" s="628"/>
      <c r="D92" s="628"/>
      <c r="L92" s="49" t="str">
        <f t="shared" si="9"/>
        <v>GUAN</v>
      </c>
      <c r="M92" s="335" t="str">
        <f>'Tower configuration'!T12</f>
        <v>Standard</v>
      </c>
      <c r="N92" s="49" t="b">
        <f t="shared" si="10"/>
        <v>1</v>
      </c>
      <c r="P92" s="900">
        <f t="shared" si="11"/>
        <v>2</v>
      </c>
      <c r="Q92" s="522">
        <f t="shared" si="11"/>
        <v>3</v>
      </c>
      <c r="R92" s="903">
        <f t="shared" si="11"/>
        <v>4</v>
      </c>
      <c r="S92" s="921">
        <f>'Tower configuration'!BG12</f>
        <v>1.0074266284896207</v>
      </c>
      <c r="T92" s="922">
        <f>'Tower configuration'!BH12</f>
        <v>2.200459317585302</v>
      </c>
      <c r="U92" s="923">
        <f>'Tower configuration'!BI12</f>
        <v>3.3934920066809835</v>
      </c>
      <c r="V92" s="908">
        <f>ROUNDUP('Tower configuration'!BG12,0)</f>
        <v>2</v>
      </c>
      <c r="W92" s="890">
        <f>ROUNDUP('Tower configuration'!BH12,0)</f>
        <v>3</v>
      </c>
      <c r="X92" s="911">
        <f>ROUNDUP('Tower configuration'!BI12,0)</f>
        <v>4</v>
      </c>
      <c r="Y92" s="908" t="b">
        <f t="shared" si="8"/>
        <v>1</v>
      </c>
      <c r="Z92" s="895" t="b">
        <f t="shared" si="6"/>
        <v>1</v>
      </c>
      <c r="AA92" s="915" t="b">
        <f t="shared" si="7"/>
        <v>1</v>
      </c>
    </row>
    <row r="93" spans="1:43" ht="15.75" x14ac:dyDescent="0.25">
      <c r="A93" s="628"/>
      <c r="B93" s="628"/>
      <c r="C93" s="628"/>
      <c r="D93" s="628"/>
      <c r="L93" s="49" t="str">
        <f t="shared" si="9"/>
        <v>LAJA</v>
      </c>
      <c r="M93" s="335" t="str">
        <f>'Tower configuration'!T13</f>
        <v>Standard</v>
      </c>
      <c r="N93" s="49" t="b">
        <f t="shared" si="10"/>
        <v>1</v>
      </c>
      <c r="P93" s="900">
        <f t="shared" si="11"/>
        <v>1</v>
      </c>
      <c r="Q93" s="522">
        <f t="shared" si="11"/>
        <v>2</v>
      </c>
      <c r="R93" s="903">
        <f t="shared" si="11"/>
        <v>3</v>
      </c>
      <c r="S93" s="921">
        <f>'Tower configuration'!BG13</f>
        <v>0.49803149606299218</v>
      </c>
      <c r="T93" s="922">
        <f>'Tower configuration'!BH13</f>
        <v>1.0945478406108327</v>
      </c>
      <c r="U93" s="923">
        <f>'Tower configuration'!BI13</f>
        <v>2</v>
      </c>
      <c r="V93" s="908">
        <f>ROUNDUP('Tower configuration'!BG13,0)</f>
        <v>1</v>
      </c>
      <c r="W93" s="890">
        <f>ROUNDUP('Tower configuration'!BH13,0)</f>
        <v>2</v>
      </c>
      <c r="X93" s="911">
        <f>ROUNDUP('Tower configuration'!BI13,0)</f>
        <v>2</v>
      </c>
      <c r="Y93" s="908" t="b">
        <f t="shared" si="8"/>
        <v>1</v>
      </c>
      <c r="Z93" s="895" t="b">
        <f t="shared" si="6"/>
        <v>1</v>
      </c>
      <c r="AA93" s="915" t="b">
        <f t="shared" si="7"/>
        <v>0</v>
      </c>
    </row>
    <row r="94" spans="1:43" ht="15.75" x14ac:dyDescent="0.25">
      <c r="A94" s="628"/>
      <c r="B94" s="628"/>
      <c r="C94" s="628"/>
      <c r="D94" s="628"/>
      <c r="L94" s="49" t="e">
        <f>#REF!</f>
        <v>#REF!</v>
      </c>
      <c r="M94" s="335" t="e">
        <f>'Tower configuration'!#REF!</f>
        <v>#REF!</v>
      </c>
      <c r="N94" s="49" t="e">
        <f>M94=#REF!</f>
        <v>#REF!</v>
      </c>
      <c r="P94" s="900" t="e">
        <f>#REF!</f>
        <v>#REF!</v>
      </c>
      <c r="Q94" s="522" t="e">
        <f>#REF!</f>
        <v>#REF!</v>
      </c>
      <c r="R94" s="903" t="e">
        <f>#REF!</f>
        <v>#REF!</v>
      </c>
      <c r="S94" s="921" t="e">
        <f>'Tower configuration'!#REF!</f>
        <v>#REF!</v>
      </c>
      <c r="T94" s="922" t="e">
        <f>'Tower configuration'!#REF!</f>
        <v>#REF!</v>
      </c>
      <c r="U94" s="923" t="e">
        <f>'Tower configuration'!#REF!</f>
        <v>#REF!</v>
      </c>
      <c r="V94" s="908" t="e">
        <f>ROUNDUP('Tower configuration'!#REF!,0)</f>
        <v>#REF!</v>
      </c>
      <c r="W94" s="890" t="e">
        <f>ROUNDUP('Tower configuration'!#REF!,0)</f>
        <v>#REF!</v>
      </c>
      <c r="X94" s="911" t="e">
        <f>ROUNDUP('Tower configuration'!#REF!,0)</f>
        <v>#REF!</v>
      </c>
      <c r="Y94" s="908" t="e">
        <f t="shared" si="8"/>
        <v>#REF!</v>
      </c>
      <c r="Z94" s="895" t="e">
        <f t="shared" si="6"/>
        <v>#REF!</v>
      </c>
      <c r="AA94" s="915" t="e">
        <f t="shared" si="7"/>
        <v>#REF!</v>
      </c>
    </row>
    <row r="95" spans="1:43" ht="15.75" x14ac:dyDescent="0.25">
      <c r="A95" s="628"/>
      <c r="B95" s="628"/>
      <c r="C95" s="628"/>
      <c r="D95" s="628"/>
      <c r="L95" s="49" t="str">
        <f t="shared" ref="L95:L114" si="12">A14</f>
        <v>UNDE</v>
      </c>
      <c r="M95" s="335" t="str">
        <f>'Tower configuration'!T14</f>
        <v>Standard</v>
      </c>
      <c r="N95" s="49" t="b">
        <f t="shared" ref="N95:N114" si="13">M95=M14</f>
        <v>1</v>
      </c>
      <c r="P95" s="900">
        <f t="shared" ref="P95:P114" si="14">S14</f>
        <v>3</v>
      </c>
      <c r="Q95" s="522">
        <f t="shared" ref="Q95:Q114" si="15">T14</f>
        <v>5</v>
      </c>
      <c r="R95" s="903">
        <f t="shared" ref="R95:R114" si="16">U14</f>
        <v>8</v>
      </c>
      <c r="S95" s="921">
        <f>'Tower configuration'!BG14</f>
        <v>2.1796259842519685</v>
      </c>
      <c r="T95" s="922">
        <f>'Tower configuration'!BH14</f>
        <v>4.5656913624433306</v>
      </c>
      <c r="U95" s="923">
        <f>'Tower configuration'!BI14</f>
        <v>6.7728018372703414</v>
      </c>
      <c r="V95" s="908">
        <f>ROUNDUP('Tower configuration'!BG14,0)</f>
        <v>3</v>
      </c>
      <c r="W95" s="890">
        <f>ROUNDUP('Tower configuration'!BH14,0)</f>
        <v>5</v>
      </c>
      <c r="X95" s="911">
        <f>ROUNDUP('Tower configuration'!BI14,0)</f>
        <v>7</v>
      </c>
      <c r="Y95" s="908" t="b">
        <f t="shared" si="8"/>
        <v>1</v>
      </c>
      <c r="Z95" s="895" t="b">
        <f t="shared" si="6"/>
        <v>1</v>
      </c>
      <c r="AA95" s="915" t="b">
        <f t="shared" si="7"/>
        <v>0</v>
      </c>
    </row>
    <row r="96" spans="1:43" ht="15.75" x14ac:dyDescent="0.25">
      <c r="A96" s="628"/>
      <c r="B96" s="628"/>
      <c r="C96" s="628"/>
      <c r="D96" s="628"/>
      <c r="L96" s="49" t="str">
        <f t="shared" si="12"/>
        <v>STEI</v>
      </c>
      <c r="M96" s="335" t="str">
        <f>'Tower configuration'!T15</f>
        <v>Heavy</v>
      </c>
      <c r="N96" s="49" t="b">
        <f t="shared" si="13"/>
        <v>1</v>
      </c>
      <c r="P96" s="900">
        <f t="shared" si="14"/>
        <v>2</v>
      </c>
      <c r="Q96" s="522">
        <f t="shared" si="15"/>
        <v>3</v>
      </c>
      <c r="R96" s="903">
        <f t="shared" si="16"/>
        <v>4</v>
      </c>
      <c r="S96" s="921">
        <f>'Tower configuration'!BG15</f>
        <v>0.77314483416845614</v>
      </c>
      <c r="T96" s="922">
        <f>'Tower configuration'!BH15</f>
        <v>1.7723097112860893</v>
      </c>
      <c r="U96" s="923">
        <f>'Tower configuration'!BI15</f>
        <v>2.7744571701264618</v>
      </c>
      <c r="V96" s="908">
        <f>ROUNDUP('Tower configuration'!BG15,0)</f>
        <v>1</v>
      </c>
      <c r="W96" s="890">
        <f>ROUNDUP('Tower configuration'!BH15,0)</f>
        <v>2</v>
      </c>
      <c r="X96" s="911">
        <f>ROUNDUP('Tower configuration'!BI15,0)</f>
        <v>3</v>
      </c>
      <c r="Y96" s="908" t="b">
        <f t="shared" si="8"/>
        <v>0</v>
      </c>
      <c r="Z96" s="895" t="b">
        <f t="shared" si="6"/>
        <v>0</v>
      </c>
      <c r="AA96" s="915" t="b">
        <f t="shared" si="7"/>
        <v>0</v>
      </c>
    </row>
    <row r="97" spans="1:27" ht="15.75" x14ac:dyDescent="0.25">
      <c r="A97" s="628"/>
      <c r="B97" s="628"/>
      <c r="C97" s="628"/>
      <c r="D97" s="628"/>
      <c r="L97" s="49" t="str">
        <f t="shared" si="12"/>
        <v>TREE</v>
      </c>
      <c r="M97" s="335" t="str">
        <f>'Tower configuration'!T16</f>
        <v>Standard</v>
      </c>
      <c r="N97" s="49" t="b">
        <f t="shared" si="13"/>
        <v>1</v>
      </c>
      <c r="P97" s="900">
        <f t="shared" si="14"/>
        <v>1</v>
      </c>
      <c r="Q97" s="522">
        <f t="shared" si="15"/>
        <v>3</v>
      </c>
      <c r="R97" s="903">
        <f t="shared" si="16"/>
        <v>7</v>
      </c>
      <c r="S97" s="921">
        <f>'Tower configuration'!BG16</f>
        <v>5.3000477213075659E-2</v>
      </c>
      <c r="T97" s="922">
        <f>'Tower configuration'!BH16</f>
        <v>2.7969756621331423</v>
      </c>
      <c r="U97" s="923">
        <f>'Tower configuration'!BI16</f>
        <v>6.6743319016941056</v>
      </c>
      <c r="V97" s="908">
        <f>ROUNDUP('Tower configuration'!BG16,0)</f>
        <v>1</v>
      </c>
      <c r="W97" s="890">
        <f>ROUNDUP('Tower configuration'!BH16,0)</f>
        <v>3</v>
      </c>
      <c r="X97" s="911">
        <f>ROUNDUP('Tower configuration'!BI16,0)</f>
        <v>7</v>
      </c>
      <c r="Y97" s="908" t="b">
        <f t="shared" si="8"/>
        <v>1</v>
      </c>
      <c r="Z97" s="895" t="b">
        <f t="shared" si="6"/>
        <v>1</v>
      </c>
      <c r="AA97" s="915" t="b">
        <f t="shared" si="7"/>
        <v>1</v>
      </c>
    </row>
    <row r="98" spans="1:27" ht="15.75" x14ac:dyDescent="0.25">
      <c r="A98" s="628"/>
      <c r="B98" s="628"/>
      <c r="C98" s="628"/>
      <c r="D98" s="628"/>
      <c r="L98" s="49" t="str">
        <f t="shared" si="12"/>
        <v>KONZ</v>
      </c>
      <c r="M98" s="335" t="str">
        <f>'Tower configuration'!T17</f>
        <v>Standard</v>
      </c>
      <c r="N98" s="49" t="b">
        <f t="shared" si="13"/>
        <v>1</v>
      </c>
      <c r="P98" s="900">
        <f t="shared" si="14"/>
        <v>1</v>
      </c>
      <c r="Q98" s="522">
        <f t="shared" si="15"/>
        <v>2</v>
      </c>
      <c r="R98" s="903">
        <f t="shared" si="16"/>
        <v>3</v>
      </c>
      <c r="S98" s="921">
        <f>'Tower configuration'!BG17</f>
        <v>0.33753877356239564</v>
      </c>
      <c r="T98" s="922">
        <f>'Tower configuration'!BH17</f>
        <v>1.0235325697924123</v>
      </c>
      <c r="U98" s="923">
        <f>'Tower configuration'!BI17</f>
        <v>2</v>
      </c>
      <c r="V98" s="908">
        <f>ROUNDUP('Tower configuration'!BG17,0)</f>
        <v>1</v>
      </c>
      <c r="W98" s="890">
        <f>ROUNDUP('Tower configuration'!BH17,0)</f>
        <v>2</v>
      </c>
      <c r="X98" s="911">
        <f>ROUNDUP('Tower configuration'!BI17,0)</f>
        <v>2</v>
      </c>
      <c r="Y98" s="908" t="b">
        <f t="shared" si="8"/>
        <v>1</v>
      </c>
      <c r="Z98" s="895" t="b">
        <f t="shared" si="6"/>
        <v>1</v>
      </c>
      <c r="AA98" s="915" t="b">
        <f t="shared" si="7"/>
        <v>0</v>
      </c>
    </row>
    <row r="99" spans="1:27" ht="15.75" x14ac:dyDescent="0.25">
      <c r="A99" s="628"/>
      <c r="B99" s="628"/>
      <c r="C99" s="628"/>
      <c r="D99" s="628"/>
      <c r="L99" s="49" t="str">
        <f t="shared" si="12"/>
        <v>UKFS</v>
      </c>
      <c r="M99" s="335" t="str">
        <f>'Tower configuration'!T18</f>
        <v>Standard</v>
      </c>
      <c r="N99" s="49" t="b">
        <f t="shared" si="13"/>
        <v>1</v>
      </c>
      <c r="P99" s="900">
        <f t="shared" si="14"/>
        <v>1</v>
      </c>
      <c r="Q99" s="522">
        <f t="shared" si="15"/>
        <v>3</v>
      </c>
      <c r="R99" s="903">
        <f t="shared" si="16"/>
        <v>6</v>
      </c>
      <c r="S99" s="921">
        <f>'Tower configuration'!BG18</f>
        <v>0.10128847530422336</v>
      </c>
      <c r="T99" s="922">
        <f>'Tower configuration'!BH18</f>
        <v>2.1890956812216653</v>
      </c>
      <c r="U99" s="923">
        <f>'Tower configuration'!BI18</f>
        <v>5.4699355762347892</v>
      </c>
      <c r="V99" s="908">
        <f>ROUNDUP('Tower configuration'!BG18,0)</f>
        <v>1</v>
      </c>
      <c r="W99" s="890">
        <f>ROUNDUP('Tower configuration'!BH18,0)</f>
        <v>3</v>
      </c>
      <c r="X99" s="911">
        <f>ROUNDUP('Tower configuration'!BI18,0)</f>
        <v>6</v>
      </c>
      <c r="Y99" s="908" t="b">
        <f t="shared" si="8"/>
        <v>1</v>
      </c>
      <c r="Z99" s="895" t="b">
        <f t="shared" si="6"/>
        <v>1</v>
      </c>
      <c r="AA99" s="915" t="b">
        <f t="shared" si="7"/>
        <v>1</v>
      </c>
    </row>
    <row r="100" spans="1:27" ht="15.75" x14ac:dyDescent="0.25">
      <c r="A100" s="628"/>
      <c r="B100" s="628"/>
      <c r="C100" s="628"/>
      <c r="D100" s="628"/>
      <c r="L100" s="49" t="str">
        <f t="shared" si="12"/>
        <v>KONA</v>
      </c>
      <c r="M100" s="335" t="str">
        <f>'Tower configuration'!T19</f>
        <v>Standard</v>
      </c>
      <c r="N100" s="49" t="b">
        <f t="shared" si="13"/>
        <v>1</v>
      </c>
      <c r="P100" s="900">
        <f t="shared" si="14"/>
        <v>1</v>
      </c>
      <c r="Q100" s="522">
        <f t="shared" si="15"/>
        <v>2</v>
      </c>
      <c r="R100" s="903">
        <f t="shared" si="16"/>
        <v>3</v>
      </c>
      <c r="S100" s="921">
        <f>'Tower configuration'!BG19</f>
        <v>0.33753877356239564</v>
      </c>
      <c r="T100" s="922">
        <f>'Tower configuration'!BH19</f>
        <v>1.0235325697924123</v>
      </c>
      <c r="U100" s="923">
        <f>'Tower configuration'!BI19</f>
        <v>2</v>
      </c>
      <c r="V100" s="908">
        <f>ROUNDUP('Tower configuration'!BG19,0)</f>
        <v>1</v>
      </c>
      <c r="W100" s="890">
        <f>ROUNDUP('Tower configuration'!BH19,0)</f>
        <v>2</v>
      </c>
      <c r="X100" s="911">
        <f>ROUNDUP('Tower configuration'!BI19,0)</f>
        <v>2</v>
      </c>
      <c r="Y100" s="908" t="b">
        <f t="shared" si="8"/>
        <v>1</v>
      </c>
      <c r="Z100" s="895" t="b">
        <f t="shared" si="6"/>
        <v>1</v>
      </c>
      <c r="AA100" s="915" t="b">
        <f t="shared" si="7"/>
        <v>0</v>
      </c>
    </row>
    <row r="101" spans="1:27" ht="15.75" x14ac:dyDescent="0.25">
      <c r="A101" s="628"/>
      <c r="B101" s="628"/>
      <c r="C101" s="628"/>
      <c r="D101" s="628"/>
      <c r="L101" s="49" t="str">
        <f t="shared" si="12"/>
        <v>ORNL</v>
      </c>
      <c r="M101" s="335" t="str">
        <f>'Tower configuration'!T20</f>
        <v>Standard</v>
      </c>
      <c r="N101" s="49" t="b">
        <f t="shared" si="13"/>
        <v>1</v>
      </c>
      <c r="P101" s="900">
        <f t="shared" si="14"/>
        <v>2</v>
      </c>
      <c r="Q101" s="522">
        <f t="shared" si="15"/>
        <v>5</v>
      </c>
      <c r="R101" s="903">
        <f t="shared" si="16"/>
        <v>7</v>
      </c>
      <c r="S101" s="921">
        <f>'Tower configuration'!BG20</f>
        <v>1.8794738725841087</v>
      </c>
      <c r="T101" s="922">
        <f>'Tower configuration'!BH20</f>
        <v>4.5637974230493921</v>
      </c>
      <c r="U101" s="923">
        <f>'Tower configuration'!BI20</f>
        <v>6.353346456692913</v>
      </c>
      <c r="V101" s="908">
        <f>ROUNDUP('Tower configuration'!BG20,0)</f>
        <v>2</v>
      </c>
      <c r="W101" s="890">
        <f>ROUNDUP('Tower configuration'!BH20,0)</f>
        <v>5</v>
      </c>
      <c r="X101" s="911">
        <f>ROUNDUP('Tower configuration'!BI20,0)</f>
        <v>7</v>
      </c>
      <c r="Y101" s="908" t="b">
        <f t="shared" si="8"/>
        <v>1</v>
      </c>
      <c r="Z101" s="895" t="b">
        <f t="shared" si="6"/>
        <v>1</v>
      </c>
      <c r="AA101" s="915" t="b">
        <f t="shared" si="7"/>
        <v>1</v>
      </c>
    </row>
    <row r="102" spans="1:27" ht="15.75" x14ac:dyDescent="0.25">
      <c r="A102" s="628"/>
      <c r="B102" s="628"/>
      <c r="C102" s="628"/>
      <c r="D102" s="628"/>
      <c r="L102" s="49" t="str">
        <f t="shared" si="12"/>
        <v>MLBS</v>
      </c>
      <c r="M102" s="335" t="str">
        <f>'Tower configuration'!T21</f>
        <v>Standard</v>
      </c>
      <c r="N102" s="49" t="b">
        <f t="shared" si="13"/>
        <v>1</v>
      </c>
      <c r="P102" s="900">
        <f t="shared" si="14"/>
        <v>2</v>
      </c>
      <c r="Q102" s="522">
        <f t="shared" si="15"/>
        <v>3</v>
      </c>
      <c r="R102" s="903">
        <f t="shared" si="16"/>
        <v>5</v>
      </c>
      <c r="S102" s="921">
        <f>'Tower configuration'!BG21</f>
        <v>1.0074266284896207</v>
      </c>
      <c r="T102" s="922">
        <f>'Tower configuration'!BH21</f>
        <v>2.200459317585302</v>
      </c>
      <c r="U102" s="923">
        <f>'Tower configuration'!BI21</f>
        <v>3.9900083512288238</v>
      </c>
      <c r="V102" s="908">
        <f>ROUNDUP('Tower configuration'!BG21,0)</f>
        <v>2</v>
      </c>
      <c r="W102" s="890">
        <f>ROUNDUP('Tower configuration'!BH21,0)</f>
        <v>3</v>
      </c>
      <c r="X102" s="911">
        <f>ROUNDUP('Tower configuration'!BI21,0)</f>
        <v>4</v>
      </c>
      <c r="Y102" s="908" t="b">
        <f t="shared" si="8"/>
        <v>1</v>
      </c>
      <c r="Z102" s="895" t="b">
        <f t="shared" si="6"/>
        <v>1</v>
      </c>
      <c r="AA102" s="915" t="b">
        <f t="shared" si="7"/>
        <v>0</v>
      </c>
    </row>
    <row r="103" spans="1:27" ht="15.75" x14ac:dyDescent="0.25">
      <c r="A103" s="628"/>
      <c r="B103" s="628"/>
      <c r="C103" s="628"/>
      <c r="D103" s="628"/>
      <c r="L103" s="49" t="str">
        <f t="shared" si="12"/>
        <v>GRSM</v>
      </c>
      <c r="M103" s="335" t="str">
        <f>'Tower configuration'!T22</f>
        <v>Standard</v>
      </c>
      <c r="N103" s="49" t="b">
        <f t="shared" si="13"/>
        <v>1</v>
      </c>
      <c r="P103" s="900">
        <f t="shared" si="14"/>
        <v>2</v>
      </c>
      <c r="Q103" s="522">
        <f t="shared" si="15"/>
        <v>5</v>
      </c>
      <c r="R103" s="903">
        <f t="shared" si="16"/>
        <v>8</v>
      </c>
      <c r="S103" s="921">
        <f>'Tower configuration'!BG22</f>
        <v>1.8908375089477452</v>
      </c>
      <c r="T103" s="922">
        <f>'Tower configuration'!BH22</f>
        <v>4.5751610594130279</v>
      </c>
      <c r="U103" s="923">
        <f>'Tower configuration'!BI22</f>
        <v>7.2594846098783101</v>
      </c>
      <c r="V103" s="908">
        <f>ROUNDUP('Tower configuration'!BG22,0)</f>
        <v>2</v>
      </c>
      <c r="W103" s="890">
        <f>ROUNDUP('Tower configuration'!BH22,0)</f>
        <v>5</v>
      </c>
      <c r="X103" s="911">
        <f>ROUNDUP('Tower configuration'!BI22,0)</f>
        <v>8</v>
      </c>
      <c r="Y103" s="908" t="b">
        <f t="shared" si="8"/>
        <v>1</v>
      </c>
      <c r="Z103" s="895" t="b">
        <f t="shared" si="6"/>
        <v>1</v>
      </c>
      <c r="AA103" s="915" t="b">
        <f t="shared" si="7"/>
        <v>1</v>
      </c>
    </row>
    <row r="104" spans="1:27" ht="15.75" x14ac:dyDescent="0.25">
      <c r="A104" s="621"/>
      <c r="B104" s="628"/>
      <c r="C104" s="621"/>
      <c r="D104" s="628"/>
      <c r="L104" s="49" t="str">
        <f t="shared" si="12"/>
        <v>TALL</v>
      </c>
      <c r="M104" s="335" t="str">
        <f>'Tower configuration'!T23</f>
        <v>Standard</v>
      </c>
      <c r="N104" s="49" t="b">
        <f t="shared" si="13"/>
        <v>1</v>
      </c>
      <c r="P104" s="900">
        <f t="shared" si="14"/>
        <v>1</v>
      </c>
      <c r="Q104" s="522">
        <f t="shared" si="15"/>
        <v>7</v>
      </c>
      <c r="R104" s="903">
        <f t="shared" si="16"/>
        <v>9</v>
      </c>
      <c r="S104" s="921">
        <f>'Tower configuration'!BG23</f>
        <v>0.41091028394178009</v>
      </c>
      <c r="T104" s="922">
        <f>'Tower configuration'!BH23</f>
        <v>6.3760737294201855</v>
      </c>
      <c r="U104" s="923">
        <f>'Tower configuration'!BI23</f>
        <v>8.1656227630637073</v>
      </c>
      <c r="V104" s="908">
        <f>ROUNDUP('Tower configuration'!BG23,0)</f>
        <v>1</v>
      </c>
      <c r="W104" s="890">
        <f>ROUNDUP('Tower configuration'!BH23,0)</f>
        <v>7</v>
      </c>
      <c r="X104" s="911">
        <f>ROUNDUP('Tower configuration'!BI23,0)</f>
        <v>9</v>
      </c>
      <c r="Y104" s="908" t="b">
        <f t="shared" si="8"/>
        <v>1</v>
      </c>
      <c r="Z104" s="895" t="b">
        <f t="shared" si="6"/>
        <v>1</v>
      </c>
      <c r="AA104" s="915" t="b">
        <f t="shared" si="7"/>
        <v>1</v>
      </c>
    </row>
    <row r="105" spans="1:27" ht="15.75" x14ac:dyDescent="0.25">
      <c r="A105" s="628"/>
      <c r="B105" s="628"/>
      <c r="C105" s="628"/>
      <c r="D105" s="628"/>
      <c r="L105" s="49" t="str">
        <f t="shared" si="12"/>
        <v>DELA</v>
      </c>
      <c r="M105" s="335" t="str">
        <f>'Tower configuration'!T24</f>
        <v>Standard</v>
      </c>
      <c r="N105" s="49" t="b">
        <f t="shared" si="13"/>
        <v>1</v>
      </c>
      <c r="P105" s="900">
        <f t="shared" si="14"/>
        <v>2</v>
      </c>
      <c r="Q105" s="522">
        <f t="shared" si="15"/>
        <v>6</v>
      </c>
      <c r="R105" s="903">
        <f t="shared" si="16"/>
        <v>9</v>
      </c>
      <c r="S105" s="921">
        <f>'Tower configuration'!BG24</f>
        <v>1.2933741947029349</v>
      </c>
      <c r="T105" s="922">
        <f>'Tower configuration'!BH24</f>
        <v>5.4689886065378195</v>
      </c>
      <c r="U105" s="923">
        <f>'Tower configuration'!BI24</f>
        <v>8.1533121570031017</v>
      </c>
      <c r="V105" s="908">
        <f>ROUNDUP('Tower configuration'!BG24,0)</f>
        <v>2</v>
      </c>
      <c r="W105" s="890">
        <f>ROUNDUP('Tower configuration'!BH24,0)</f>
        <v>6</v>
      </c>
      <c r="X105" s="911">
        <f>ROUNDUP('Tower configuration'!BI24,0)</f>
        <v>9</v>
      </c>
      <c r="Y105" s="908" t="b">
        <f t="shared" si="8"/>
        <v>1</v>
      </c>
      <c r="Z105" s="895" t="b">
        <f t="shared" si="6"/>
        <v>1</v>
      </c>
      <c r="AA105" s="915" t="b">
        <f t="shared" si="7"/>
        <v>1</v>
      </c>
    </row>
    <row r="106" spans="1:27" ht="15.75" x14ac:dyDescent="0.25">
      <c r="A106" s="628"/>
      <c r="B106" s="628"/>
      <c r="C106" s="628"/>
      <c r="D106" s="628"/>
      <c r="L106" s="49" t="str">
        <f t="shared" si="12"/>
        <v>LENO</v>
      </c>
      <c r="M106" s="335" t="str">
        <f>'Tower configuration'!T25</f>
        <v>Heavy</v>
      </c>
      <c r="N106" s="49" t="b">
        <f t="shared" si="13"/>
        <v>1</v>
      </c>
      <c r="P106" s="900">
        <f t="shared" si="14"/>
        <v>1</v>
      </c>
      <c r="Q106" s="522">
        <f t="shared" si="15"/>
        <v>5</v>
      </c>
      <c r="R106" s="903">
        <f t="shared" si="16"/>
        <v>10</v>
      </c>
      <c r="S106" s="921">
        <f>'Tower configuration'!BG25</f>
        <v>0.39954664757814373</v>
      </c>
      <c r="T106" s="922">
        <f>'Tower configuration'!BH25</f>
        <v>4.5751610594130279</v>
      </c>
      <c r="U106" s="923">
        <f>'Tower configuration'!BI25</f>
        <v>9.347291815795753</v>
      </c>
      <c r="V106" s="908">
        <f>ROUNDUP('Tower configuration'!BG25,0)</f>
        <v>1</v>
      </c>
      <c r="W106" s="890">
        <f>ROUNDUP('Tower configuration'!BH25,0)</f>
        <v>5</v>
      </c>
      <c r="X106" s="911">
        <f>ROUNDUP('Tower configuration'!BI25,0)</f>
        <v>10</v>
      </c>
      <c r="Y106" s="908" t="b">
        <f t="shared" si="8"/>
        <v>1</v>
      </c>
      <c r="Z106" s="895" t="b">
        <f t="shared" si="6"/>
        <v>1</v>
      </c>
      <c r="AA106" s="915" t="b">
        <f t="shared" si="7"/>
        <v>1</v>
      </c>
    </row>
    <row r="107" spans="1:27" ht="15.75" x14ac:dyDescent="0.25">
      <c r="A107" s="628"/>
      <c r="B107" s="628"/>
      <c r="C107" s="628"/>
      <c r="D107" s="634"/>
      <c r="L107" s="49" t="str">
        <f t="shared" si="12"/>
        <v>WOOD</v>
      </c>
      <c r="M107" s="335" t="str">
        <f>'Tower configuration'!T26</f>
        <v>Standard</v>
      </c>
      <c r="N107" s="49" t="b">
        <f t="shared" si="13"/>
        <v>1</v>
      </c>
      <c r="P107" s="900">
        <f t="shared" si="14"/>
        <v>1</v>
      </c>
      <c r="Q107" s="522">
        <f t="shared" si="15"/>
        <v>2</v>
      </c>
      <c r="R107" s="903">
        <f t="shared" si="16"/>
        <v>3</v>
      </c>
      <c r="S107" s="921">
        <f>'Tower configuration'!BG26</f>
        <v>0.19219756621331421</v>
      </c>
      <c r="T107" s="922">
        <f>'Tower configuration'!BH26</f>
        <v>0.93784299689811512</v>
      </c>
      <c r="U107" s="923">
        <f>'Tower configuration'!BI26</f>
        <v>2</v>
      </c>
      <c r="V107" s="908">
        <f>ROUNDUP('Tower configuration'!BG26,0)</f>
        <v>1</v>
      </c>
      <c r="W107" s="890">
        <f>ROUNDUP('Tower configuration'!BH26,0)</f>
        <v>1</v>
      </c>
      <c r="X107" s="911">
        <f>ROUNDUP('Tower configuration'!BI26,0)</f>
        <v>2</v>
      </c>
      <c r="Y107" s="908" t="b">
        <f t="shared" si="8"/>
        <v>1</v>
      </c>
      <c r="Z107" s="895" t="b">
        <f t="shared" si="6"/>
        <v>0</v>
      </c>
      <c r="AA107" s="915" t="b">
        <f t="shared" si="7"/>
        <v>0</v>
      </c>
    </row>
    <row r="108" spans="1:27" x14ac:dyDescent="0.25">
      <c r="A108" s="635"/>
      <c r="B108" s="635"/>
      <c r="C108" s="635"/>
      <c r="D108" s="630"/>
      <c r="L108" s="49" t="str">
        <f t="shared" si="12"/>
        <v>DCFS</v>
      </c>
      <c r="M108" s="335" t="str">
        <f>'Tower configuration'!T27</f>
        <v>Standard</v>
      </c>
      <c r="N108" s="49" t="b">
        <f t="shared" si="13"/>
        <v>1</v>
      </c>
      <c r="P108" s="900">
        <f t="shared" si="14"/>
        <v>1</v>
      </c>
      <c r="Q108" s="522">
        <f t="shared" si="15"/>
        <v>2</v>
      </c>
      <c r="R108" s="903">
        <f t="shared" si="16"/>
        <v>3</v>
      </c>
      <c r="S108" s="921">
        <f>'Tower configuration'!BG27</f>
        <v>0.33375089477451686</v>
      </c>
      <c r="T108" s="922">
        <f>'Tower configuration'!BH27</f>
        <v>1.0793963254593175</v>
      </c>
      <c r="U108" s="923">
        <f>'Tower configuration'!BI27</f>
        <v>2</v>
      </c>
      <c r="V108" s="908">
        <f>ROUNDUP('Tower configuration'!BG27,0)</f>
        <v>1</v>
      </c>
      <c r="W108" s="890">
        <f>ROUNDUP('Tower configuration'!BH27,0)</f>
        <v>2</v>
      </c>
      <c r="X108" s="911">
        <f>ROUNDUP('Tower configuration'!BI27,0)</f>
        <v>2</v>
      </c>
      <c r="Y108" s="908" t="b">
        <f t="shared" si="8"/>
        <v>1</v>
      </c>
      <c r="Z108" s="895" t="b">
        <f t="shared" si="6"/>
        <v>1</v>
      </c>
      <c r="AA108" s="915" t="b">
        <f t="shared" si="7"/>
        <v>0</v>
      </c>
    </row>
    <row r="109" spans="1:27" x14ac:dyDescent="0.25">
      <c r="A109" s="635"/>
      <c r="B109" s="635"/>
      <c r="C109" s="635"/>
      <c r="D109" s="630"/>
      <c r="L109" s="49" t="str">
        <f t="shared" si="12"/>
        <v>NOGP</v>
      </c>
      <c r="M109" s="335" t="str">
        <f>'Tower configuration'!T28</f>
        <v>Standard</v>
      </c>
      <c r="N109" s="49" t="b">
        <f t="shared" si="13"/>
        <v>1</v>
      </c>
      <c r="P109" s="900">
        <f t="shared" si="14"/>
        <v>1</v>
      </c>
      <c r="Q109" s="522">
        <f t="shared" si="15"/>
        <v>2</v>
      </c>
      <c r="R109" s="903">
        <f t="shared" si="16"/>
        <v>3</v>
      </c>
      <c r="S109" s="921">
        <f>'Tower configuration'!BG28</f>
        <v>0.1770460510617991</v>
      </c>
      <c r="T109" s="922">
        <f>'Tower configuration'!BH28</f>
        <v>0.92269148174659987</v>
      </c>
      <c r="U109" s="923">
        <f>'Tower configuration'!BI28</f>
        <v>2</v>
      </c>
      <c r="V109" s="908">
        <f>ROUNDUP('Tower configuration'!BG28,0)</f>
        <v>1</v>
      </c>
      <c r="W109" s="890">
        <f>ROUNDUP('Tower configuration'!BH28,0)</f>
        <v>1</v>
      </c>
      <c r="X109" s="911">
        <f>ROUNDUP('Tower configuration'!BI28,0)</f>
        <v>2</v>
      </c>
      <c r="Y109" s="908" t="b">
        <f t="shared" si="8"/>
        <v>1</v>
      </c>
      <c r="Z109" s="895" t="b">
        <f t="shared" si="6"/>
        <v>0</v>
      </c>
      <c r="AA109" s="915" t="b">
        <f t="shared" si="7"/>
        <v>0</v>
      </c>
    </row>
    <row r="110" spans="1:27" x14ac:dyDescent="0.25">
      <c r="A110" s="635"/>
      <c r="B110" s="635"/>
      <c r="C110" s="635"/>
      <c r="D110" s="630"/>
      <c r="L110" s="49" t="str">
        <f t="shared" si="12"/>
        <v>CPER</v>
      </c>
      <c r="M110" s="335" t="str">
        <f>'Tower configuration'!T29</f>
        <v>Standard</v>
      </c>
      <c r="N110" s="49" t="b">
        <f t="shared" si="13"/>
        <v>1</v>
      </c>
      <c r="P110" s="900">
        <f t="shared" si="14"/>
        <v>1</v>
      </c>
      <c r="Q110" s="522">
        <f t="shared" si="15"/>
        <v>2</v>
      </c>
      <c r="R110" s="903">
        <f t="shared" si="16"/>
        <v>3</v>
      </c>
      <c r="S110" s="921">
        <f>'Tower configuration'!BG29</f>
        <v>0.50360892388451439</v>
      </c>
      <c r="T110" s="922">
        <f>'Tower configuration'!BH29</f>
        <v>0.95099618229539484</v>
      </c>
      <c r="U110" s="923">
        <f>'Tower configuration'!BI29</f>
        <v>2</v>
      </c>
      <c r="V110" s="908">
        <f>ROUNDUP('Tower configuration'!BG29,0)</f>
        <v>1</v>
      </c>
      <c r="W110" s="890">
        <f>ROUNDUP('Tower configuration'!BH29,0)</f>
        <v>1</v>
      </c>
      <c r="X110" s="911">
        <f>ROUNDUP('Tower configuration'!BI29,0)</f>
        <v>2</v>
      </c>
      <c r="Y110" s="908" t="b">
        <f t="shared" si="8"/>
        <v>1</v>
      </c>
      <c r="Z110" s="895" t="b">
        <f t="shared" si="6"/>
        <v>0</v>
      </c>
      <c r="AA110" s="915" t="b">
        <f t="shared" si="7"/>
        <v>0</v>
      </c>
    </row>
    <row r="111" spans="1:27" x14ac:dyDescent="0.25">
      <c r="A111" s="635"/>
      <c r="B111" s="635"/>
      <c r="C111" s="635"/>
      <c r="D111" s="630"/>
      <c r="L111" s="49" t="str">
        <f t="shared" si="12"/>
        <v>STER</v>
      </c>
      <c r="M111" s="335" t="str">
        <f>'Tower configuration'!T30</f>
        <v>Standard</v>
      </c>
      <c r="N111" s="49" t="b">
        <f t="shared" si="13"/>
        <v>1</v>
      </c>
      <c r="P111" s="900">
        <f t="shared" si="14"/>
        <v>1</v>
      </c>
      <c r="Q111" s="522">
        <f t="shared" si="15"/>
        <v>2</v>
      </c>
      <c r="R111" s="903">
        <f t="shared" si="16"/>
        <v>3</v>
      </c>
      <c r="S111" s="921">
        <f>'Tower configuration'!BG30</f>
        <v>0.57662998091147699</v>
      </c>
      <c r="T111" s="922">
        <f>'Tower configuration'!BH30</f>
        <v>1.4714044977332379</v>
      </c>
      <c r="U111" s="923">
        <f>'Tower configuration'!BI30</f>
        <v>2</v>
      </c>
      <c r="V111" s="908">
        <f>ROUNDUP('Tower configuration'!BG30,0)</f>
        <v>1</v>
      </c>
      <c r="W111" s="890">
        <f>ROUNDUP('Tower configuration'!BH30,0)</f>
        <v>2</v>
      </c>
      <c r="X111" s="911">
        <f>ROUNDUP('Tower configuration'!BI30,0)</f>
        <v>2</v>
      </c>
      <c r="Y111" s="908" t="b">
        <f t="shared" si="8"/>
        <v>1</v>
      </c>
      <c r="Z111" s="895" t="b">
        <f t="shared" si="6"/>
        <v>1</v>
      </c>
      <c r="AA111" s="915" t="b">
        <f t="shared" si="7"/>
        <v>0</v>
      </c>
    </row>
    <row r="112" spans="1:27" x14ac:dyDescent="0.25">
      <c r="A112" s="635"/>
      <c r="B112" s="635"/>
      <c r="C112" s="635"/>
      <c r="D112" s="630"/>
      <c r="L112" s="49" t="str">
        <f t="shared" si="12"/>
        <v>RMNP</v>
      </c>
      <c r="M112" s="335" t="str">
        <f>'Tower configuration'!T31</f>
        <v>Extreme</v>
      </c>
      <c r="N112" s="49" t="b">
        <f t="shared" si="13"/>
        <v>1</v>
      </c>
      <c r="P112" s="900">
        <f t="shared" si="14"/>
        <v>2</v>
      </c>
      <c r="Q112" s="522">
        <f t="shared" si="15"/>
        <v>4</v>
      </c>
      <c r="R112" s="903">
        <f t="shared" si="16"/>
        <v>6</v>
      </c>
      <c r="S112" s="921">
        <f>'Tower configuration'!BG31</f>
        <v>1.9239889047959915</v>
      </c>
      <c r="T112" s="922">
        <f>'Tower configuration'!BH31</f>
        <v>3.7731895728942972</v>
      </c>
      <c r="U112" s="923">
        <f>'Tower configuration'!BI31</f>
        <v>5.2644804342638984</v>
      </c>
      <c r="V112" s="908">
        <f>ROUNDUP('Tower configuration'!BG31,0)</f>
        <v>2</v>
      </c>
      <c r="W112" s="890">
        <f>ROUNDUP('Tower configuration'!BH31,0)</f>
        <v>4</v>
      </c>
      <c r="X112" s="911">
        <f>ROUNDUP('Tower configuration'!BI31,0)</f>
        <v>6</v>
      </c>
      <c r="Y112" s="908" t="b">
        <f t="shared" si="8"/>
        <v>1</v>
      </c>
      <c r="Z112" s="895" t="b">
        <f t="shared" si="6"/>
        <v>1</v>
      </c>
      <c r="AA112" s="915" t="b">
        <f t="shared" si="7"/>
        <v>1</v>
      </c>
    </row>
    <row r="113" spans="1:27" x14ac:dyDescent="0.25">
      <c r="A113" s="635"/>
      <c r="B113" s="635"/>
      <c r="C113" s="635"/>
      <c r="D113" s="630"/>
      <c r="L113" s="49" t="str">
        <f t="shared" si="12"/>
        <v>CLBJ</v>
      </c>
      <c r="M113" s="335" t="str">
        <f>'Tower configuration'!T32</f>
        <v>Standard</v>
      </c>
      <c r="N113" s="49" t="b">
        <f t="shared" si="13"/>
        <v>1</v>
      </c>
      <c r="P113" s="900">
        <f t="shared" si="14"/>
        <v>2</v>
      </c>
      <c r="Q113" s="522">
        <f t="shared" si="15"/>
        <v>3</v>
      </c>
      <c r="R113" s="903">
        <f t="shared" si="16"/>
        <v>5</v>
      </c>
      <c r="S113" s="921">
        <f>'Tower configuration'!BG32</f>
        <v>0.95060844667143884</v>
      </c>
      <c r="T113" s="922">
        <f>'Tower configuration'!BH32</f>
        <v>2.7401574803149606</v>
      </c>
      <c r="U113" s="923">
        <f>'Tower configuration'!BI32</f>
        <v>4.5297065139584829</v>
      </c>
      <c r="V113" s="908">
        <f>ROUNDUP('Tower configuration'!BG32,0)</f>
        <v>1</v>
      </c>
      <c r="W113" s="890">
        <f>ROUNDUP('Tower configuration'!BH32,0)</f>
        <v>3</v>
      </c>
      <c r="X113" s="911">
        <f>ROUNDUP('Tower configuration'!BI32,0)</f>
        <v>5</v>
      </c>
      <c r="Y113" s="908" t="b">
        <f t="shared" si="8"/>
        <v>0</v>
      </c>
      <c r="Z113" s="895" t="b">
        <f t="shared" si="6"/>
        <v>1</v>
      </c>
      <c r="AA113" s="915" t="b">
        <f t="shared" si="7"/>
        <v>1</v>
      </c>
    </row>
    <row r="114" spans="1:27" x14ac:dyDescent="0.25">
      <c r="A114" s="622"/>
      <c r="B114" s="622"/>
      <c r="C114" s="622"/>
      <c r="D114" s="630"/>
      <c r="L114" s="49" t="str">
        <f t="shared" si="12"/>
        <v>OAES</v>
      </c>
      <c r="M114" s="335" t="str">
        <f>'Tower configuration'!T33</f>
        <v>Standard</v>
      </c>
      <c r="N114" s="49" t="b">
        <f t="shared" si="13"/>
        <v>1</v>
      </c>
      <c r="P114" s="900">
        <f t="shared" si="14"/>
        <v>1</v>
      </c>
      <c r="Q114" s="522">
        <f t="shared" si="15"/>
        <v>2</v>
      </c>
      <c r="R114" s="903">
        <f t="shared" si="16"/>
        <v>3</v>
      </c>
      <c r="S114" s="921">
        <f>'Tower configuration'!BG33</f>
        <v>0.51602392030541633</v>
      </c>
      <c r="T114" s="922">
        <f>'Tower configuration'!BH33</f>
        <v>1.112540264853257</v>
      </c>
      <c r="U114" s="923">
        <f>'Tower configuration'!BI33</f>
        <v>2</v>
      </c>
      <c r="V114" s="908">
        <f>ROUNDUP('Tower configuration'!BG33,0)</f>
        <v>1</v>
      </c>
      <c r="W114" s="890">
        <f>ROUNDUP('Tower configuration'!BH33,0)</f>
        <v>2</v>
      </c>
      <c r="X114" s="911">
        <f>ROUNDUP('Tower configuration'!BI33,0)</f>
        <v>2</v>
      </c>
      <c r="Y114" s="908" t="b">
        <f t="shared" si="8"/>
        <v>1</v>
      </c>
      <c r="Z114" s="895" t="b">
        <f t="shared" si="6"/>
        <v>1</v>
      </c>
      <c r="AA114" s="915" t="b">
        <f t="shared" si="7"/>
        <v>0</v>
      </c>
    </row>
    <row r="115" spans="1:27" x14ac:dyDescent="0.25">
      <c r="A115" s="622"/>
      <c r="B115" s="622"/>
      <c r="C115" s="622"/>
      <c r="D115" s="630"/>
      <c r="L115" s="49" t="e">
        <f>#REF!</f>
        <v>#REF!</v>
      </c>
      <c r="M115" s="896" t="e">
        <f>'Tower configuration'!#REF!</f>
        <v>#REF!</v>
      </c>
      <c r="N115" s="897" t="e">
        <f>M115=#REF!</f>
        <v>#REF!</v>
      </c>
      <c r="P115" s="900" t="e">
        <f>#REF!</f>
        <v>#REF!</v>
      </c>
      <c r="Q115" s="522" t="e">
        <f>#REF!</f>
        <v>#REF!</v>
      </c>
      <c r="R115" s="903" t="e">
        <f>#REF!</f>
        <v>#REF!</v>
      </c>
      <c r="S115" s="921" t="e">
        <f>'Tower configuration'!#REF!</f>
        <v>#REF!</v>
      </c>
      <c r="T115" s="922" t="e">
        <f>'Tower configuration'!#REF!</f>
        <v>#REF!</v>
      </c>
      <c r="U115" s="923" t="e">
        <f>'Tower configuration'!#REF!</f>
        <v>#REF!</v>
      </c>
      <c r="V115" s="908" t="e">
        <f>ROUNDUP('Tower configuration'!#REF!,0)</f>
        <v>#REF!</v>
      </c>
      <c r="W115" s="890" t="e">
        <f>ROUNDUP('Tower configuration'!#REF!,0)</f>
        <v>#REF!</v>
      </c>
      <c r="X115" s="911" t="e">
        <f>ROUNDUP('Tower configuration'!#REF!,0)</f>
        <v>#REF!</v>
      </c>
      <c r="Y115" s="908" t="e">
        <f t="shared" si="8"/>
        <v>#REF!</v>
      </c>
      <c r="Z115" s="895" t="e">
        <f t="shared" si="6"/>
        <v>#REF!</v>
      </c>
      <c r="AA115" s="915" t="e">
        <f t="shared" si="7"/>
        <v>#REF!</v>
      </c>
    </row>
    <row r="116" spans="1:27" x14ac:dyDescent="0.25">
      <c r="A116" s="626"/>
      <c r="B116" s="626"/>
      <c r="C116" s="626"/>
      <c r="D116" s="630"/>
      <c r="L116" s="49" t="str">
        <f>A34</f>
        <v>YELL</v>
      </c>
      <c r="M116" s="335" t="str">
        <f>'Tower configuration'!T34</f>
        <v>Extreme</v>
      </c>
      <c r="N116" s="49" t="b">
        <f>M116=M34</f>
        <v>1</v>
      </c>
      <c r="P116" s="900">
        <f>S34</f>
        <v>1</v>
      </c>
      <c r="Q116" s="522">
        <f>T34</f>
        <v>3</v>
      </c>
      <c r="R116" s="903">
        <f>U34</f>
        <v>5</v>
      </c>
      <c r="S116" s="921">
        <f>'Tower configuration'!BG34</f>
        <v>0.18840968742543548</v>
      </c>
      <c r="T116" s="922">
        <f>'Tower configuration'!BH34</f>
        <v>2.2762168933428777</v>
      </c>
      <c r="U116" s="923">
        <f>'Tower configuration'!BI34</f>
        <v>4.0657659269863995</v>
      </c>
      <c r="V116" s="908">
        <f>ROUNDUP('Tower configuration'!BG34,0)</f>
        <v>1</v>
      </c>
      <c r="W116" s="890">
        <f>ROUNDUP('Tower configuration'!BH34,0)</f>
        <v>3</v>
      </c>
      <c r="X116" s="911">
        <f>ROUNDUP('Tower configuration'!BI34,0)</f>
        <v>5</v>
      </c>
      <c r="Y116" s="908" t="b">
        <f t="shared" si="8"/>
        <v>1</v>
      </c>
      <c r="Z116" s="895" t="b">
        <f t="shared" si="6"/>
        <v>1</v>
      </c>
      <c r="AA116" s="915" t="b">
        <f t="shared" si="7"/>
        <v>1</v>
      </c>
    </row>
    <row r="117" spans="1:27" x14ac:dyDescent="0.25">
      <c r="A117" s="626"/>
      <c r="B117" s="626"/>
      <c r="C117" s="626"/>
      <c r="D117" s="630"/>
      <c r="L117" s="49" t="e">
        <f>#REF!</f>
        <v>#REF!</v>
      </c>
      <c r="M117" s="896" t="e">
        <f>'Tower configuration'!#REF!</f>
        <v>#REF!</v>
      </c>
      <c r="N117" s="897" t="e">
        <f>M117=#REF!</f>
        <v>#REF!</v>
      </c>
      <c r="P117" s="900" t="e">
        <f>#REF!</f>
        <v>#REF!</v>
      </c>
      <c r="Q117" s="522" t="e">
        <f>#REF!</f>
        <v>#REF!</v>
      </c>
      <c r="R117" s="903" t="e">
        <f>#REF!</f>
        <v>#REF!</v>
      </c>
      <c r="S117" s="921" t="e">
        <f>'Tower configuration'!#REF!</f>
        <v>#REF!</v>
      </c>
      <c r="T117" s="922" t="e">
        <f>'Tower configuration'!#REF!</f>
        <v>#REF!</v>
      </c>
      <c r="U117" s="923" t="e">
        <f>'Tower configuration'!#REF!</f>
        <v>#REF!</v>
      </c>
      <c r="V117" s="908" t="e">
        <f>ROUNDUP('Tower configuration'!#REF!,0)</f>
        <v>#REF!</v>
      </c>
      <c r="W117" s="890" t="e">
        <f>ROUNDUP('Tower configuration'!#REF!,0)</f>
        <v>#REF!</v>
      </c>
      <c r="X117" s="911" t="e">
        <f>ROUNDUP('Tower configuration'!#REF!,0)</f>
        <v>#REF!</v>
      </c>
      <c r="Y117" s="908" t="e">
        <f t="shared" si="8"/>
        <v>#REF!</v>
      </c>
      <c r="Z117" s="895" t="e">
        <f t="shared" si="6"/>
        <v>#REF!</v>
      </c>
      <c r="AA117" s="915" t="e">
        <f t="shared" si="7"/>
        <v>#REF!</v>
      </c>
    </row>
    <row r="118" spans="1:27" x14ac:dyDescent="0.25">
      <c r="A118" s="626"/>
      <c r="B118" s="632"/>
      <c r="C118" s="626"/>
      <c r="D118" s="630"/>
      <c r="L118" s="49" t="e">
        <f>#REF!</f>
        <v>#REF!</v>
      </c>
      <c r="M118" s="335" t="e">
        <f>'Tower configuration'!#REF!</f>
        <v>#REF!</v>
      </c>
      <c r="N118" s="49" t="e">
        <f>M118=#REF!</f>
        <v>#REF!</v>
      </c>
      <c r="P118" s="900" t="e">
        <f>#REF!</f>
        <v>#REF!</v>
      </c>
      <c r="Q118" s="522" t="e">
        <f>#REF!</f>
        <v>#REF!</v>
      </c>
      <c r="R118" s="903" t="e">
        <f>#REF!</f>
        <v>#REF!</v>
      </c>
      <c r="S118" s="921" t="e">
        <f>'Tower configuration'!#REF!</f>
        <v>#REF!</v>
      </c>
      <c r="T118" s="922" t="e">
        <f>'Tower configuration'!#REF!</f>
        <v>#REF!</v>
      </c>
      <c r="U118" s="923" t="e">
        <f>'Tower configuration'!#REF!</f>
        <v>#REF!</v>
      </c>
      <c r="V118" s="908" t="e">
        <f>ROUNDUP('Tower configuration'!#REF!,0)</f>
        <v>#REF!</v>
      </c>
      <c r="W118" s="890" t="e">
        <f>ROUNDUP('Tower configuration'!#REF!,0)</f>
        <v>#REF!</v>
      </c>
      <c r="X118" s="911" t="e">
        <f>ROUNDUP('Tower configuration'!#REF!,0)</f>
        <v>#REF!</v>
      </c>
      <c r="Y118" s="908" t="e">
        <f t="shared" si="8"/>
        <v>#REF!</v>
      </c>
      <c r="Z118" s="895" t="e">
        <f t="shared" si="6"/>
        <v>#REF!</v>
      </c>
      <c r="AA118" s="915" t="e">
        <f t="shared" si="7"/>
        <v>#REF!</v>
      </c>
    </row>
    <row r="119" spans="1:27" x14ac:dyDescent="0.25">
      <c r="A119" s="626"/>
      <c r="B119" s="632"/>
      <c r="C119" s="626"/>
      <c r="D119" s="630"/>
      <c r="L119" s="49" t="str">
        <f>A35</f>
        <v>NIWO</v>
      </c>
      <c r="M119" s="335" t="str">
        <f>'Tower configuration'!T35</f>
        <v>Extreme</v>
      </c>
      <c r="N119" s="49" t="b">
        <f>M119=M35</f>
        <v>1</v>
      </c>
      <c r="P119" s="900">
        <f t="shared" ref="P119:R120" si="17">S35</f>
        <v>1</v>
      </c>
      <c r="Q119" s="522">
        <f t="shared" si="17"/>
        <v>2</v>
      </c>
      <c r="R119" s="903">
        <f t="shared" si="17"/>
        <v>3</v>
      </c>
      <c r="S119" s="921">
        <f>'Tower configuration'!BG35</f>
        <v>0.18840968742543548</v>
      </c>
      <c r="T119" s="922">
        <f>'Tower configuration'!BH35</f>
        <v>1.0831842042471964</v>
      </c>
      <c r="U119" s="923">
        <f>'Tower configuration'!BI35</f>
        <v>2</v>
      </c>
      <c r="V119" s="908">
        <f>ROUNDUP('Tower configuration'!BG35,0)</f>
        <v>1</v>
      </c>
      <c r="W119" s="890">
        <f>ROUNDUP('Tower configuration'!BH35,0)</f>
        <v>2</v>
      </c>
      <c r="X119" s="911">
        <f>ROUNDUP('Tower configuration'!BI35,0)</f>
        <v>2</v>
      </c>
      <c r="Y119" s="908" t="b">
        <f t="shared" si="8"/>
        <v>1</v>
      </c>
      <c r="Z119" s="895" t="b">
        <f t="shared" si="6"/>
        <v>1</v>
      </c>
      <c r="AA119" s="915" t="b">
        <f t="shared" si="7"/>
        <v>0</v>
      </c>
    </row>
    <row r="120" spans="1:27" x14ac:dyDescent="0.25">
      <c r="A120" s="622"/>
      <c r="B120" s="622"/>
      <c r="C120" s="622"/>
      <c r="D120" s="630"/>
      <c r="L120" s="49" t="str">
        <f>A36</f>
        <v>MOAB</v>
      </c>
      <c r="M120" s="335" t="str">
        <f>'Tower configuration'!T36</f>
        <v>Standard</v>
      </c>
      <c r="N120" s="49" t="b">
        <f>M120=M36</f>
        <v>1</v>
      </c>
      <c r="P120" s="900">
        <f t="shared" si="17"/>
        <v>1</v>
      </c>
      <c r="Q120" s="522">
        <f t="shared" si="17"/>
        <v>2</v>
      </c>
      <c r="R120" s="903">
        <f t="shared" si="17"/>
        <v>3</v>
      </c>
      <c r="S120" s="921">
        <f>'Tower configuration'!BG36</f>
        <v>0.47530422333571942</v>
      </c>
      <c r="T120" s="922">
        <f>'Tower configuration'!BH36</f>
        <v>1.0718205678835599</v>
      </c>
      <c r="U120" s="923">
        <f>'Tower configuration'!BI36</f>
        <v>2</v>
      </c>
      <c r="V120" s="908">
        <f>ROUNDUP('Tower configuration'!BG36,0)</f>
        <v>1</v>
      </c>
      <c r="W120" s="890">
        <f>ROUNDUP('Tower configuration'!BH36,0)</f>
        <v>2</v>
      </c>
      <c r="X120" s="911">
        <f>ROUNDUP('Tower configuration'!BI36,0)</f>
        <v>2</v>
      </c>
      <c r="Y120" s="908" t="b">
        <f t="shared" si="8"/>
        <v>1</v>
      </c>
      <c r="Z120" s="895" t="b">
        <f t="shared" si="6"/>
        <v>1</v>
      </c>
      <c r="AA120" s="915" t="b">
        <f t="shared" si="7"/>
        <v>0</v>
      </c>
    </row>
    <row r="121" spans="1:27" x14ac:dyDescent="0.25">
      <c r="A121" s="622"/>
      <c r="B121" s="622"/>
      <c r="C121" s="622"/>
      <c r="D121" s="630"/>
      <c r="L121" s="49" t="e">
        <f>#REF!</f>
        <v>#REF!</v>
      </c>
      <c r="M121" s="335" t="e">
        <f>'Tower configuration'!#REF!</f>
        <v>#REF!</v>
      </c>
      <c r="N121" s="49" t="e">
        <f>M121=#REF!</f>
        <v>#REF!</v>
      </c>
      <c r="P121" s="900" t="e">
        <f>#REF!</f>
        <v>#REF!</v>
      </c>
      <c r="Q121" s="522" t="e">
        <f>#REF!</f>
        <v>#REF!</v>
      </c>
      <c r="R121" s="903" t="e">
        <f>#REF!</f>
        <v>#REF!</v>
      </c>
      <c r="S121" s="921" t="e">
        <f>'Tower configuration'!#REF!</f>
        <v>#REF!</v>
      </c>
      <c r="T121" s="922" t="e">
        <f>'Tower configuration'!#REF!</f>
        <v>#REF!</v>
      </c>
      <c r="U121" s="923" t="e">
        <f>'Tower configuration'!#REF!</f>
        <v>#REF!</v>
      </c>
      <c r="V121" s="908" t="e">
        <f>ROUNDUP('Tower configuration'!#REF!,0)</f>
        <v>#REF!</v>
      </c>
      <c r="W121" s="890" t="e">
        <f>ROUNDUP('Tower configuration'!#REF!,0)</f>
        <v>#REF!</v>
      </c>
      <c r="X121" s="911" t="e">
        <f>ROUNDUP('Tower configuration'!#REF!,0)</f>
        <v>#REF!</v>
      </c>
      <c r="Y121" s="908" t="e">
        <f t="shared" si="8"/>
        <v>#REF!</v>
      </c>
      <c r="Z121" s="895" t="e">
        <f t="shared" si="6"/>
        <v>#REF!</v>
      </c>
      <c r="AA121" s="915" t="e">
        <f t="shared" si="7"/>
        <v>#REF!</v>
      </c>
    </row>
    <row r="122" spans="1:27" x14ac:dyDescent="0.25">
      <c r="A122" s="622"/>
      <c r="B122" s="632"/>
      <c r="C122" s="622"/>
      <c r="D122" s="630"/>
      <c r="L122" s="49" t="str">
        <f>A37</f>
        <v>SRER</v>
      </c>
      <c r="M122" s="335" t="str">
        <f>'Tower configuration'!T37</f>
        <v>Standard</v>
      </c>
      <c r="N122" s="49" t="b">
        <f>M122=M37</f>
        <v>1</v>
      </c>
      <c r="P122" s="900">
        <f t="shared" ref="P122:R123" si="18">S37</f>
        <v>1</v>
      </c>
      <c r="Q122" s="522">
        <f t="shared" si="18"/>
        <v>2</v>
      </c>
      <c r="R122" s="903">
        <f t="shared" si="18"/>
        <v>3</v>
      </c>
      <c r="S122" s="921">
        <f>'Tower configuration'!BG37</f>
        <v>0.41565258888093537</v>
      </c>
      <c r="T122" s="922">
        <f>'Tower configuration'!BH37</f>
        <v>1.0718205678835599</v>
      </c>
      <c r="U122" s="923">
        <f>'Tower configuration'!BI37</f>
        <v>2</v>
      </c>
      <c r="V122" s="908">
        <f>ROUNDUP('Tower configuration'!BG37,0)</f>
        <v>1</v>
      </c>
      <c r="W122" s="890">
        <f>ROUNDUP('Tower configuration'!BH37,0)</f>
        <v>2</v>
      </c>
      <c r="X122" s="911">
        <f>ROUNDUP('Tower configuration'!BI37,0)</f>
        <v>2</v>
      </c>
      <c r="Y122" s="908" t="b">
        <f t="shared" si="8"/>
        <v>1</v>
      </c>
      <c r="Z122" s="895" t="b">
        <f t="shared" si="6"/>
        <v>1</v>
      </c>
      <c r="AA122" s="915" t="b">
        <f t="shared" si="7"/>
        <v>0</v>
      </c>
    </row>
    <row r="123" spans="1:27" x14ac:dyDescent="0.25">
      <c r="A123" s="626"/>
      <c r="B123" s="632"/>
      <c r="C123" s="626"/>
      <c r="D123" s="630"/>
      <c r="L123" s="49" t="str">
        <f>A38</f>
        <v>JORN</v>
      </c>
      <c r="M123" s="335" t="str">
        <f>'Tower configuration'!T38</f>
        <v>Standard</v>
      </c>
      <c r="N123" s="49" t="b">
        <f>M123=M38</f>
        <v>1</v>
      </c>
      <c r="P123" s="900">
        <f t="shared" si="18"/>
        <v>1</v>
      </c>
      <c r="Q123" s="522">
        <f t="shared" si="18"/>
        <v>2</v>
      </c>
      <c r="R123" s="903">
        <f t="shared" si="18"/>
        <v>3</v>
      </c>
      <c r="S123" s="921">
        <f>'Tower configuration'!BG38</f>
        <v>0.2632091088045812</v>
      </c>
      <c r="T123" s="922">
        <f>'Tower configuration'!BH38</f>
        <v>1.0685061739441661</v>
      </c>
      <c r="U123" s="923">
        <f>'Tower configuration'!BI38</f>
        <v>2</v>
      </c>
      <c r="V123" s="908">
        <f>ROUNDUP('Tower configuration'!BG38,0)</f>
        <v>1</v>
      </c>
      <c r="W123" s="890">
        <f>ROUNDUP('Tower configuration'!BH38,0)</f>
        <v>2</v>
      </c>
      <c r="X123" s="911">
        <f>ROUNDUP('Tower configuration'!BI38,0)</f>
        <v>2</v>
      </c>
      <c r="Y123" s="908" t="b">
        <f t="shared" si="8"/>
        <v>1</v>
      </c>
      <c r="Z123" s="895" t="b">
        <f t="shared" si="6"/>
        <v>1</v>
      </c>
      <c r="AA123" s="915" t="b">
        <f t="shared" si="7"/>
        <v>0</v>
      </c>
    </row>
    <row r="124" spans="1:27" x14ac:dyDescent="0.25">
      <c r="A124" s="622"/>
      <c r="B124" s="622"/>
      <c r="C124" s="622"/>
      <c r="D124" s="630"/>
      <c r="L124" s="49" t="e">
        <f>#REF!</f>
        <v>#REF!</v>
      </c>
      <c r="M124" s="335" t="e">
        <f>'Tower configuration'!#REF!</f>
        <v>#REF!</v>
      </c>
      <c r="N124" s="49" t="e">
        <f>M124=#REF!</f>
        <v>#REF!</v>
      </c>
      <c r="P124" s="900" t="e">
        <f>#REF!</f>
        <v>#REF!</v>
      </c>
      <c r="Q124" s="522" t="e">
        <f>#REF!</f>
        <v>#REF!</v>
      </c>
      <c r="R124" s="903" t="e">
        <f>#REF!</f>
        <v>#REF!</v>
      </c>
      <c r="S124" s="921" t="e">
        <f>'Tower configuration'!#REF!</f>
        <v>#REF!</v>
      </c>
      <c r="T124" s="922" t="e">
        <f>'Tower configuration'!#REF!</f>
        <v>#REF!</v>
      </c>
      <c r="U124" s="923" t="e">
        <f>'Tower configuration'!#REF!</f>
        <v>#REF!</v>
      </c>
      <c r="V124" s="908" t="e">
        <f>ROUNDUP('Tower configuration'!#REF!,0)</f>
        <v>#REF!</v>
      </c>
      <c r="W124" s="890" t="e">
        <f>ROUNDUP('Tower configuration'!#REF!,0)</f>
        <v>#REF!</v>
      </c>
      <c r="X124" s="911" t="e">
        <f>ROUNDUP('Tower configuration'!#REF!,0)</f>
        <v>#REF!</v>
      </c>
      <c r="Y124" s="908" t="e">
        <f t="shared" si="8"/>
        <v>#REF!</v>
      </c>
      <c r="Z124" s="895" t="e">
        <f t="shared" si="6"/>
        <v>#REF!</v>
      </c>
      <c r="AA124" s="915" t="e">
        <f t="shared" si="7"/>
        <v>#REF!</v>
      </c>
    </row>
    <row r="125" spans="1:27" x14ac:dyDescent="0.25">
      <c r="A125" s="622"/>
      <c r="B125" s="622"/>
      <c r="C125" s="622"/>
      <c r="D125" s="630"/>
      <c r="L125" s="49" t="str">
        <f>A39</f>
        <v>ONAQ</v>
      </c>
      <c r="M125" s="335" t="str">
        <f>'Tower configuration'!T39</f>
        <v>Standard</v>
      </c>
      <c r="N125" s="49" t="b">
        <f>M125=M39</f>
        <v>1</v>
      </c>
      <c r="P125" s="900">
        <f>S39</f>
        <v>1</v>
      </c>
      <c r="Q125" s="522">
        <f>T39</f>
        <v>2</v>
      </c>
      <c r="R125" s="903">
        <f>U39</f>
        <v>3</v>
      </c>
      <c r="S125" s="921">
        <f>'Tower configuration'!BG39</f>
        <v>0.48666785969935583</v>
      </c>
      <c r="T125" s="922">
        <f>'Tower configuration'!BH39</f>
        <v>1.0831842042471964</v>
      </c>
      <c r="U125" s="923">
        <f>'Tower configuration'!BI39</f>
        <v>2</v>
      </c>
      <c r="V125" s="908">
        <f>ROUNDUP('Tower configuration'!BG39,0)</f>
        <v>1</v>
      </c>
      <c r="W125" s="890">
        <f>ROUNDUP('Tower configuration'!BH39,0)</f>
        <v>2</v>
      </c>
      <c r="X125" s="911">
        <f>ROUNDUP('Tower configuration'!BI39,0)</f>
        <v>2</v>
      </c>
      <c r="Y125" s="908" t="b">
        <f t="shared" si="8"/>
        <v>1</v>
      </c>
      <c r="Z125" s="895" t="b">
        <f t="shared" si="6"/>
        <v>1</v>
      </c>
      <c r="AA125" s="915" t="b">
        <f t="shared" si="7"/>
        <v>0</v>
      </c>
    </row>
    <row r="126" spans="1:27" x14ac:dyDescent="0.25">
      <c r="A126" s="622"/>
      <c r="B126" s="622"/>
      <c r="C126" s="622"/>
      <c r="D126" s="630"/>
      <c r="L126" s="49" t="e">
        <f>#REF!</f>
        <v>#REF!</v>
      </c>
      <c r="M126" s="335" t="e">
        <f>'Tower configuration'!#REF!</f>
        <v>#REF!</v>
      </c>
      <c r="N126" s="49" t="e">
        <f>M126=#REF!</f>
        <v>#REF!</v>
      </c>
      <c r="P126" s="900" t="e">
        <f>#REF!</f>
        <v>#REF!</v>
      </c>
      <c r="Q126" s="522" t="e">
        <f>#REF!</f>
        <v>#REF!</v>
      </c>
      <c r="R126" s="903" t="e">
        <f>#REF!</f>
        <v>#REF!</v>
      </c>
      <c r="S126" s="921" t="e">
        <f>'Tower configuration'!#REF!</f>
        <v>#REF!</v>
      </c>
      <c r="T126" s="922" t="e">
        <f>'Tower configuration'!#REF!</f>
        <v>#REF!</v>
      </c>
      <c r="U126" s="923" t="e">
        <f>'Tower configuration'!#REF!</f>
        <v>#REF!</v>
      </c>
      <c r="V126" s="908" t="e">
        <f>ROUNDUP('Tower configuration'!#REF!,0)</f>
        <v>#REF!</v>
      </c>
      <c r="W126" s="890" t="e">
        <f>ROUNDUP('Tower configuration'!#REF!,0)</f>
        <v>#REF!</v>
      </c>
      <c r="X126" s="911" t="e">
        <f>ROUNDUP('Tower configuration'!#REF!,0)</f>
        <v>#REF!</v>
      </c>
      <c r="Y126" s="908" t="e">
        <f t="shared" si="8"/>
        <v>#REF!</v>
      </c>
      <c r="Z126" s="895" t="e">
        <f t="shared" si="6"/>
        <v>#REF!</v>
      </c>
      <c r="AA126" s="915" t="e">
        <f t="shared" si="7"/>
        <v>#REF!</v>
      </c>
    </row>
    <row r="127" spans="1:27" x14ac:dyDescent="0.25">
      <c r="A127" s="622"/>
      <c r="B127" s="622"/>
      <c r="C127" s="622"/>
      <c r="D127" s="630"/>
      <c r="L127" s="49" t="e">
        <f>#REF!</f>
        <v>#REF!</v>
      </c>
      <c r="M127" s="335" t="e">
        <f>'Tower configuration'!#REF!</f>
        <v>#REF!</v>
      </c>
      <c r="N127" s="49" t="e">
        <f>M127=#REF!</f>
        <v>#REF!</v>
      </c>
      <c r="P127" s="900" t="e">
        <f>#REF!</f>
        <v>#REF!</v>
      </c>
      <c r="Q127" s="522" t="e">
        <f>#REF!</f>
        <v>#REF!</v>
      </c>
      <c r="R127" s="903" t="e">
        <f>#REF!</f>
        <v>#REF!</v>
      </c>
      <c r="S127" s="921" t="e">
        <f>'Tower configuration'!#REF!</f>
        <v>#REF!</v>
      </c>
      <c r="T127" s="922" t="e">
        <f>'Tower configuration'!#REF!</f>
        <v>#REF!</v>
      </c>
      <c r="U127" s="923" t="e">
        <f>'Tower configuration'!#REF!</f>
        <v>#REF!</v>
      </c>
      <c r="V127" s="908" t="e">
        <f>ROUNDUP('Tower configuration'!#REF!,0)</f>
        <v>#REF!</v>
      </c>
      <c r="W127" s="890" t="e">
        <f>ROUNDUP('Tower configuration'!#REF!,0)</f>
        <v>#REF!</v>
      </c>
      <c r="X127" s="911" t="e">
        <f>ROUNDUP('Tower configuration'!#REF!,0)</f>
        <v>#REF!</v>
      </c>
      <c r="Y127" s="908" t="e">
        <f t="shared" si="8"/>
        <v>#REF!</v>
      </c>
      <c r="Z127" s="895" t="e">
        <f t="shared" si="6"/>
        <v>#REF!</v>
      </c>
      <c r="AA127" s="915" t="e">
        <f t="shared" si="7"/>
        <v>#REF!</v>
      </c>
    </row>
    <row r="128" spans="1:27" x14ac:dyDescent="0.25">
      <c r="A128" s="622"/>
      <c r="B128" s="622"/>
      <c r="C128" s="622"/>
      <c r="D128" s="630"/>
      <c r="L128" s="49" t="str">
        <f>A40</f>
        <v>WREF</v>
      </c>
      <c r="M128" s="896">
        <f>'Tower configuration'!T40</f>
        <v>0</v>
      </c>
      <c r="N128" s="897" t="b">
        <f>M128=M40</f>
        <v>0</v>
      </c>
      <c r="P128" s="900">
        <f>S40</f>
        <v>3</v>
      </c>
      <c r="Q128" s="522">
        <f>T40</f>
        <v>6</v>
      </c>
      <c r="R128" s="903">
        <f>U40</f>
        <v>11</v>
      </c>
      <c r="S128" s="921">
        <f>'Tower configuration'!BG40</f>
        <v>3.2505368647100927</v>
      </c>
      <c r="T128" s="922">
        <f>'Tower configuration'!BH40</f>
        <v>5.3383440706275351</v>
      </c>
      <c r="U128" s="923">
        <f>'Tower configuration'!BI40</f>
        <v>10.378907182056789</v>
      </c>
      <c r="V128" s="908">
        <f>ROUNDUP('Tower configuration'!BG40,0)</f>
        <v>4</v>
      </c>
      <c r="W128" s="890">
        <f>ROUNDUP('Tower configuration'!BH40,0)</f>
        <v>6</v>
      </c>
      <c r="X128" s="911">
        <f>ROUNDUP('Tower configuration'!BI40,0)</f>
        <v>11</v>
      </c>
      <c r="Y128" s="908" t="b">
        <f t="shared" si="8"/>
        <v>0</v>
      </c>
      <c r="Z128" s="895" t="b">
        <f t="shared" si="6"/>
        <v>1</v>
      </c>
      <c r="AA128" s="915" t="b">
        <f t="shared" si="7"/>
        <v>1</v>
      </c>
    </row>
    <row r="129" spans="1:27" x14ac:dyDescent="0.25">
      <c r="A129" s="626"/>
      <c r="B129" s="626"/>
      <c r="C129" s="626"/>
      <c r="D129" s="630"/>
      <c r="L129" s="49" t="e">
        <f>#REF!</f>
        <v>#REF!</v>
      </c>
      <c r="M129" s="335" t="e">
        <f>'Tower configuration'!#REF!</f>
        <v>#REF!</v>
      </c>
      <c r="N129" s="49" t="e">
        <f>M129=#REF!</f>
        <v>#REF!</v>
      </c>
      <c r="P129" s="900" t="e">
        <f>#REF!</f>
        <v>#REF!</v>
      </c>
      <c r="Q129" s="522" t="e">
        <f>#REF!</f>
        <v>#REF!</v>
      </c>
      <c r="R129" s="903" t="e">
        <f>#REF!</f>
        <v>#REF!</v>
      </c>
      <c r="S129" s="921" t="e">
        <f>'Tower configuration'!#REF!</f>
        <v>#REF!</v>
      </c>
      <c r="T129" s="922" t="e">
        <f>'Tower configuration'!#REF!</f>
        <v>#REF!</v>
      </c>
      <c r="U129" s="923" t="e">
        <f>'Tower configuration'!#REF!</f>
        <v>#REF!</v>
      </c>
      <c r="V129" s="908" t="e">
        <f>ROUNDUP('Tower configuration'!#REF!,0)</f>
        <v>#REF!</v>
      </c>
      <c r="W129" s="890" t="e">
        <f>ROUNDUP('Tower configuration'!#REF!,0)</f>
        <v>#REF!</v>
      </c>
      <c r="X129" s="911" t="e">
        <f>ROUNDUP('Tower configuration'!#REF!,0)</f>
        <v>#REF!</v>
      </c>
      <c r="Y129" s="908" t="e">
        <f t="shared" si="8"/>
        <v>#REF!</v>
      </c>
      <c r="Z129" s="895" t="e">
        <f t="shared" si="6"/>
        <v>#REF!</v>
      </c>
      <c r="AA129" s="915" t="e">
        <f t="shared" si="7"/>
        <v>#REF!</v>
      </c>
    </row>
    <row r="130" spans="1:27" x14ac:dyDescent="0.25">
      <c r="A130" s="626"/>
      <c r="B130" s="626"/>
      <c r="C130" s="626"/>
      <c r="D130" s="630"/>
      <c r="L130" s="49" t="str">
        <f t="shared" ref="L130:L137" si="19">A41</f>
        <v>ABBY</v>
      </c>
      <c r="M130" s="335" t="str">
        <f>'Tower configuration'!T41</f>
        <v>Heavy</v>
      </c>
      <c r="N130" s="49" t="b">
        <f t="shared" ref="N130:N137" si="20">M130=M41</f>
        <v>1</v>
      </c>
      <c r="P130" s="900">
        <f t="shared" ref="P130:R137" si="21">S41</f>
        <v>1</v>
      </c>
      <c r="Q130" s="522">
        <f t="shared" si="21"/>
        <v>2</v>
      </c>
      <c r="R130" s="903">
        <f t="shared" si="21"/>
        <v>5</v>
      </c>
      <c r="S130" s="921">
        <f>'Tower configuration'!BG41</f>
        <v>1.0997375328083991</v>
      </c>
      <c r="T130" s="922">
        <f>'Tower configuration'!BH41</f>
        <v>2.5910283941780006</v>
      </c>
      <c r="U130" s="923">
        <f>'Tower configuration'!BI41</f>
        <v>3.5663326175137202</v>
      </c>
      <c r="V130" s="908">
        <f>ROUNDUP('Tower configuration'!BG41,0)</f>
        <v>2</v>
      </c>
      <c r="W130" s="890">
        <f>ROUNDUP('Tower configuration'!BH41,0)</f>
        <v>3</v>
      </c>
      <c r="X130" s="911">
        <f>ROUNDUP('Tower configuration'!BI41,0)</f>
        <v>4</v>
      </c>
      <c r="Y130" s="908" t="b">
        <f t="shared" si="8"/>
        <v>0</v>
      </c>
      <c r="Z130" s="895" t="b">
        <f t="shared" si="6"/>
        <v>0</v>
      </c>
      <c r="AA130" s="915" t="b">
        <f t="shared" si="7"/>
        <v>0</v>
      </c>
    </row>
    <row r="131" spans="1:27" x14ac:dyDescent="0.25">
      <c r="A131" s="622"/>
      <c r="B131" s="622"/>
      <c r="C131" s="622"/>
      <c r="D131" s="630"/>
      <c r="L131" s="49" t="str">
        <f t="shared" si="19"/>
        <v>SJER</v>
      </c>
      <c r="M131" s="335" t="str">
        <f>'Tower configuration'!T42</f>
        <v>Standard</v>
      </c>
      <c r="N131" s="49" t="b">
        <f t="shared" si="20"/>
        <v>1</v>
      </c>
      <c r="P131" s="900">
        <f t="shared" si="21"/>
        <v>1</v>
      </c>
      <c r="Q131" s="522">
        <f t="shared" si="21"/>
        <v>2</v>
      </c>
      <c r="R131" s="903">
        <f t="shared" si="21"/>
        <v>7</v>
      </c>
      <c r="S131" s="921">
        <f>'Tower configuration'!BG42</f>
        <v>-6.6511572417084046E-3</v>
      </c>
      <c r="T131" s="922">
        <f>'Tower configuration'!BH42</f>
        <v>1.3056848007635411</v>
      </c>
      <c r="U131" s="923">
        <f>'Tower configuration'!BI42</f>
        <v>6.0778155571462653</v>
      </c>
      <c r="V131" s="908">
        <f>ROUNDUP('Tower configuration'!BG42,0)</f>
        <v>-1</v>
      </c>
      <c r="W131" s="890">
        <f>ROUNDUP('Tower configuration'!BH42,0)</f>
        <v>2</v>
      </c>
      <c r="X131" s="911">
        <f>ROUNDUP('Tower configuration'!BI42,0)</f>
        <v>7</v>
      </c>
      <c r="Y131" s="908" t="b">
        <f t="shared" si="8"/>
        <v>0</v>
      </c>
      <c r="Z131" s="895" t="b">
        <f t="shared" si="6"/>
        <v>1</v>
      </c>
      <c r="AA131" s="915" t="b">
        <f t="shared" si="7"/>
        <v>1</v>
      </c>
    </row>
    <row r="132" spans="1:27" x14ac:dyDescent="0.25">
      <c r="A132" s="622"/>
      <c r="B132" s="622"/>
      <c r="C132" s="622"/>
      <c r="D132" s="630"/>
      <c r="L132" s="49" t="str">
        <f t="shared" si="19"/>
        <v>SOAP</v>
      </c>
      <c r="M132" s="335" t="str">
        <f>'Tower configuration'!T43</f>
        <v>Heavy</v>
      </c>
      <c r="N132" s="49" t="b">
        <f t="shared" si="20"/>
        <v>1</v>
      </c>
      <c r="P132" s="900">
        <f t="shared" si="21"/>
        <v>2</v>
      </c>
      <c r="Q132" s="522">
        <f t="shared" si="21"/>
        <v>6</v>
      </c>
      <c r="R132" s="903">
        <f t="shared" si="21"/>
        <v>9</v>
      </c>
      <c r="S132" s="921">
        <f>'Tower configuration'!BG43</f>
        <v>1.6039429730374613</v>
      </c>
      <c r="T132" s="922">
        <f>'Tower configuration'!BH43</f>
        <v>5.1830410403245049</v>
      </c>
      <c r="U132" s="923">
        <f>'Tower configuration'!BI43</f>
        <v>8.7621391076115476</v>
      </c>
      <c r="V132" s="908">
        <f>ROUNDUP('Tower configuration'!BG43,0)</f>
        <v>2</v>
      </c>
      <c r="W132" s="890">
        <f>ROUNDUP('Tower configuration'!BH43,0)</f>
        <v>6</v>
      </c>
      <c r="X132" s="911">
        <f>ROUNDUP('Tower configuration'!BI43,0)</f>
        <v>9</v>
      </c>
      <c r="Y132" s="908" t="b">
        <f t="shared" si="8"/>
        <v>1</v>
      </c>
      <c r="Z132" s="895" t="b">
        <f t="shared" si="6"/>
        <v>1</v>
      </c>
      <c r="AA132" s="915" t="b">
        <f t="shared" si="7"/>
        <v>1</v>
      </c>
    </row>
    <row r="133" spans="1:27" x14ac:dyDescent="0.25">
      <c r="A133" s="626"/>
      <c r="B133" s="626"/>
      <c r="C133" s="626"/>
      <c r="D133" s="630"/>
      <c r="L133" s="49" t="str">
        <f t="shared" si="19"/>
        <v>TEAK</v>
      </c>
      <c r="M133" s="335" t="str">
        <f>'Tower configuration'!T44</f>
        <v>Heavy</v>
      </c>
      <c r="N133" s="49" t="b">
        <f t="shared" si="20"/>
        <v>1</v>
      </c>
      <c r="P133" s="900">
        <f t="shared" si="21"/>
        <v>1</v>
      </c>
      <c r="Q133" s="522">
        <f t="shared" si="21"/>
        <v>4</v>
      </c>
      <c r="R133" s="903">
        <f t="shared" si="21"/>
        <v>8</v>
      </c>
      <c r="S133" s="921">
        <f>'Tower configuration'!BG44</f>
        <v>0.70916845621570035</v>
      </c>
      <c r="T133" s="922">
        <f>'Tower configuration'!BH44</f>
        <v>3.6917501789549036</v>
      </c>
      <c r="U133" s="923">
        <f>'Tower configuration'!BI44</f>
        <v>7.2708482462419459</v>
      </c>
      <c r="V133" s="908">
        <f>ROUNDUP('Tower configuration'!BG44,0)</f>
        <v>1</v>
      </c>
      <c r="W133" s="890">
        <f>ROUNDUP('Tower configuration'!BH44,0)</f>
        <v>4</v>
      </c>
      <c r="X133" s="911">
        <f>ROUNDUP('Tower configuration'!BI44,0)</f>
        <v>8</v>
      </c>
      <c r="Y133" s="908" t="b">
        <f t="shared" si="8"/>
        <v>1</v>
      </c>
      <c r="Z133" s="895" t="b">
        <f t="shared" si="6"/>
        <v>1</v>
      </c>
      <c r="AA133" s="915" t="b">
        <f t="shared" si="7"/>
        <v>1</v>
      </c>
    </row>
    <row r="134" spans="1:27" x14ac:dyDescent="0.25">
      <c r="A134" s="622"/>
      <c r="B134" s="622"/>
      <c r="C134" s="622"/>
      <c r="D134" s="630"/>
      <c r="L134" s="49" t="str">
        <f t="shared" si="19"/>
        <v>TOOL</v>
      </c>
      <c r="M134" s="335" t="str">
        <f>'Tower configuration'!T45</f>
        <v>Standard</v>
      </c>
      <c r="N134" s="49" t="b">
        <f t="shared" si="20"/>
        <v>1</v>
      </c>
      <c r="P134" s="900">
        <f t="shared" si="21"/>
        <v>1</v>
      </c>
      <c r="Q134" s="522">
        <f t="shared" si="21"/>
        <v>2</v>
      </c>
      <c r="R134" s="903">
        <f t="shared" si="21"/>
        <v>3</v>
      </c>
      <c r="S134" s="921">
        <f>'Tower configuration'!BG45</f>
        <v>0.18840968742543548</v>
      </c>
      <c r="T134" s="922">
        <f>'Tower configuration'!BH45</f>
        <v>0.93405511811023623</v>
      </c>
      <c r="U134" s="923">
        <f>'Tower configuration'!BI45</f>
        <v>2</v>
      </c>
      <c r="V134" s="908">
        <f>ROUNDUP('Tower configuration'!BG45,0)</f>
        <v>1</v>
      </c>
      <c r="W134" s="890">
        <f>ROUNDUP('Tower configuration'!BH45,0)</f>
        <v>1</v>
      </c>
      <c r="X134" s="911">
        <f>ROUNDUP('Tower configuration'!BI45,0)</f>
        <v>2</v>
      </c>
      <c r="Y134" s="908" t="b">
        <f t="shared" si="8"/>
        <v>1</v>
      </c>
      <c r="Z134" s="895" t="b">
        <f t="shared" si="6"/>
        <v>0</v>
      </c>
      <c r="AA134" s="915" t="b">
        <f t="shared" si="7"/>
        <v>0</v>
      </c>
    </row>
    <row r="135" spans="1:27" x14ac:dyDescent="0.25">
      <c r="A135" s="622"/>
      <c r="B135" s="622"/>
      <c r="C135" s="622"/>
      <c r="D135" s="630"/>
      <c r="L135" s="49" t="str">
        <f t="shared" si="19"/>
        <v>BARR</v>
      </c>
      <c r="M135" s="335" t="str">
        <f>'Tower configuration'!T46</f>
        <v>Extreme</v>
      </c>
      <c r="N135" s="49" t="b">
        <f t="shared" si="20"/>
        <v>1</v>
      </c>
      <c r="P135" s="900">
        <f t="shared" si="21"/>
        <v>1</v>
      </c>
      <c r="Q135" s="522">
        <f t="shared" si="21"/>
        <v>2</v>
      </c>
      <c r="R135" s="903">
        <f t="shared" si="21"/>
        <v>3</v>
      </c>
      <c r="S135" s="921">
        <f>'Tower configuration'!BG46</f>
        <v>0.18840968742543548</v>
      </c>
      <c r="T135" s="922">
        <f>'Tower configuration'!BH46</f>
        <v>0.93405511811023623</v>
      </c>
      <c r="U135" s="923">
        <f>'Tower configuration'!BI46</f>
        <v>2</v>
      </c>
      <c r="V135" s="908">
        <f>ROUNDUP('Tower configuration'!BG46,0)</f>
        <v>1</v>
      </c>
      <c r="W135" s="890">
        <f>ROUNDUP('Tower configuration'!BH46,0)</f>
        <v>1</v>
      </c>
      <c r="X135" s="911">
        <f>ROUNDUP('Tower configuration'!BI46,0)</f>
        <v>2</v>
      </c>
      <c r="Y135" s="908" t="b">
        <f t="shared" si="8"/>
        <v>1</v>
      </c>
      <c r="Z135" s="895" t="b">
        <f t="shared" si="6"/>
        <v>0</v>
      </c>
      <c r="AA135" s="915" t="b">
        <f t="shared" si="7"/>
        <v>0</v>
      </c>
    </row>
    <row r="136" spans="1:27" x14ac:dyDescent="0.25">
      <c r="A136" s="622"/>
      <c r="B136" s="622"/>
      <c r="C136" s="622"/>
      <c r="D136" s="630"/>
      <c r="L136" s="49" t="str">
        <f t="shared" si="19"/>
        <v>BONA</v>
      </c>
      <c r="M136" s="335" t="str">
        <f>'Tower configuration'!T47</f>
        <v>Heavy</v>
      </c>
      <c r="N136" s="49" t="b">
        <f t="shared" si="20"/>
        <v>1</v>
      </c>
      <c r="P136" s="900">
        <f t="shared" si="21"/>
        <v>1</v>
      </c>
      <c r="Q136" s="522">
        <f t="shared" si="21"/>
        <v>2</v>
      </c>
      <c r="R136" s="903">
        <f t="shared" si="21"/>
        <v>3</v>
      </c>
      <c r="S136" s="921">
        <f>'Tower configuration'!BG47</f>
        <v>-7.1581961345740745E-3</v>
      </c>
      <c r="T136" s="922">
        <f>'Tower configuration'!BH47</f>
        <v>0.73848723455022669</v>
      </c>
      <c r="U136" s="923">
        <f>'Tower configuration'!BI47</f>
        <v>2.5280362681937487</v>
      </c>
      <c r="V136" s="908">
        <f>ROUNDUP('Tower configuration'!BG47,0)</f>
        <v>-1</v>
      </c>
      <c r="W136" s="890">
        <f>ROUNDUP('Tower configuration'!BH47,0)</f>
        <v>1</v>
      </c>
      <c r="X136" s="911">
        <f>ROUNDUP('Tower configuration'!BI47,0)</f>
        <v>3</v>
      </c>
      <c r="Y136" s="908" t="b">
        <f t="shared" si="8"/>
        <v>0</v>
      </c>
      <c r="Z136" s="895" t="b">
        <f t="shared" si="6"/>
        <v>0</v>
      </c>
      <c r="AA136" s="915" t="b">
        <f t="shared" si="7"/>
        <v>1</v>
      </c>
    </row>
    <row r="137" spans="1:27" x14ac:dyDescent="0.25">
      <c r="A137" s="626"/>
      <c r="B137" s="626"/>
      <c r="C137" s="626"/>
      <c r="D137" s="630"/>
      <c r="L137" s="49" t="str">
        <f t="shared" si="19"/>
        <v>DEJU</v>
      </c>
      <c r="M137" s="335" t="str">
        <f>'Tower configuration'!T48</f>
        <v>Standard</v>
      </c>
      <c r="N137" s="49" t="b">
        <f t="shared" si="20"/>
        <v>1</v>
      </c>
      <c r="P137" s="900">
        <f t="shared" si="21"/>
        <v>1</v>
      </c>
      <c r="Q137" s="522">
        <f t="shared" si="21"/>
        <v>2</v>
      </c>
      <c r="R137" s="903">
        <f t="shared" si="21"/>
        <v>4</v>
      </c>
      <c r="S137" s="921">
        <f>'Tower configuration'!BG48</f>
        <v>0.10128847530422336</v>
      </c>
      <c r="T137" s="922">
        <f>'Tower configuration'!BH48</f>
        <v>1.5925793366738248</v>
      </c>
      <c r="U137" s="923">
        <f>'Tower configuration'!BI48</f>
        <v>3.6803865425912674</v>
      </c>
      <c r="V137" s="908">
        <f>ROUNDUP('Tower configuration'!BG48,0)</f>
        <v>1</v>
      </c>
      <c r="W137" s="890">
        <f>ROUNDUP('Tower configuration'!BH48,0)</f>
        <v>2</v>
      </c>
      <c r="X137" s="911">
        <f>ROUNDUP('Tower configuration'!BI48,0)</f>
        <v>4</v>
      </c>
      <c r="Y137" s="908" t="b">
        <f t="shared" si="8"/>
        <v>1</v>
      </c>
      <c r="Z137" s="895" t="b">
        <f t="shared" si="6"/>
        <v>1</v>
      </c>
      <c r="AA137" s="915" t="b">
        <f t="shared" si="7"/>
        <v>1</v>
      </c>
    </row>
    <row r="138" spans="1:27" x14ac:dyDescent="0.25">
      <c r="A138" s="622"/>
      <c r="B138" s="632"/>
      <c r="C138" s="622"/>
      <c r="D138" s="630"/>
      <c r="L138" s="49" t="e">
        <f>#REF!</f>
        <v>#REF!</v>
      </c>
      <c r="M138" s="335" t="e">
        <f>'Tower configuration'!#REF!</f>
        <v>#REF!</v>
      </c>
      <c r="N138" s="49" t="e">
        <f>M138=#REF!</f>
        <v>#REF!</v>
      </c>
      <c r="P138" s="900" t="e">
        <f>#REF!</f>
        <v>#REF!</v>
      </c>
      <c r="Q138" s="522" t="e">
        <f>#REF!</f>
        <v>#REF!</v>
      </c>
      <c r="R138" s="903" t="e">
        <f>#REF!</f>
        <v>#REF!</v>
      </c>
      <c r="S138" s="921" t="e">
        <f>'Tower configuration'!#REF!</f>
        <v>#REF!</v>
      </c>
      <c r="T138" s="922" t="e">
        <f>'Tower configuration'!#REF!</f>
        <v>#REF!</v>
      </c>
      <c r="U138" s="923" t="e">
        <f>'Tower configuration'!#REF!</f>
        <v>#REF!</v>
      </c>
      <c r="V138" s="908" t="e">
        <f>ROUNDUP('Tower configuration'!#REF!,0)</f>
        <v>#REF!</v>
      </c>
      <c r="W138" s="890" t="e">
        <f>ROUNDUP('Tower configuration'!#REF!,0)</f>
        <v>#REF!</v>
      </c>
      <c r="X138" s="911" t="e">
        <f>ROUNDUP('Tower configuration'!#REF!,0)</f>
        <v>#REF!</v>
      </c>
      <c r="Y138" s="908" t="e">
        <f t="shared" si="8"/>
        <v>#REF!</v>
      </c>
      <c r="Z138" s="895" t="e">
        <f t="shared" si="6"/>
        <v>#REF!</v>
      </c>
      <c r="AA138" s="915" t="e">
        <f t="shared" si="7"/>
        <v>#REF!</v>
      </c>
    </row>
    <row r="139" spans="1:27" x14ac:dyDescent="0.25">
      <c r="A139" s="622"/>
      <c r="B139" s="632"/>
      <c r="C139" s="622"/>
      <c r="D139" s="630"/>
      <c r="L139" s="49" t="str">
        <f>A49</f>
        <v>HEAL</v>
      </c>
      <c r="M139" s="896">
        <f>'Tower configuration'!T49</f>
        <v>0</v>
      </c>
      <c r="N139" s="897" t="b">
        <f>M139=M49</f>
        <v>0</v>
      </c>
      <c r="P139" s="900">
        <f t="shared" ref="P139:R140" si="22">S49</f>
        <v>1</v>
      </c>
      <c r="Q139" s="522">
        <f t="shared" si="22"/>
        <v>2</v>
      </c>
      <c r="R139" s="903">
        <f t="shared" si="22"/>
        <v>3</v>
      </c>
      <c r="S139" s="921">
        <f>'Tower configuration'!BG49</f>
        <v>7.098544500119304E-2</v>
      </c>
      <c r="T139" s="922">
        <f>'Tower configuration'!BH49</f>
        <v>1.1148890479599141</v>
      </c>
      <c r="U139" s="923">
        <f>'Tower configuration'!BI49</f>
        <v>2</v>
      </c>
      <c r="V139" s="908">
        <f>ROUNDUP('Tower configuration'!BG49,0)</f>
        <v>1</v>
      </c>
      <c r="W139" s="890">
        <f>ROUNDUP('Tower configuration'!BH49,0)</f>
        <v>2</v>
      </c>
      <c r="X139" s="911">
        <f>ROUNDUP('Tower configuration'!BI49,0)</f>
        <v>2</v>
      </c>
      <c r="Y139" s="908" t="b">
        <f t="shared" si="8"/>
        <v>1</v>
      </c>
      <c r="Z139" s="895" t="b">
        <f t="shared" si="6"/>
        <v>1</v>
      </c>
      <c r="AA139" s="915" t="b">
        <f t="shared" si="7"/>
        <v>0</v>
      </c>
    </row>
    <row r="140" spans="1:27" x14ac:dyDescent="0.25">
      <c r="A140" s="626"/>
      <c r="B140" s="626"/>
      <c r="C140" s="626"/>
      <c r="D140" s="630"/>
      <c r="L140" s="49" t="str">
        <f>A50</f>
        <v>PUUM</v>
      </c>
      <c r="M140" s="335" t="str">
        <f>'Tower configuration'!T50</f>
        <v>Standard</v>
      </c>
      <c r="N140" s="49" t="b">
        <f>M140=M50</f>
        <v>1</v>
      </c>
      <c r="P140" s="900">
        <f t="shared" si="22"/>
        <v>1</v>
      </c>
      <c r="Q140" s="522">
        <f t="shared" si="22"/>
        <v>2</v>
      </c>
      <c r="R140" s="903">
        <f t="shared" si="22"/>
        <v>3</v>
      </c>
      <c r="S140" s="921">
        <f>'Tower configuration'!BG50</f>
        <v>0.99606299212598437</v>
      </c>
      <c r="T140" s="922">
        <f>'Tower configuration'!BH50</f>
        <v>3.3821283703173468</v>
      </c>
      <c r="U140" s="923">
        <f>'Tower configuration'!BI50</f>
        <v>5.4699355762347892</v>
      </c>
      <c r="V140" s="908">
        <f>ROUNDUP('Tower configuration'!BG50,0)</f>
        <v>1</v>
      </c>
      <c r="W140" s="890">
        <f>ROUNDUP('Tower configuration'!BH50,0)</f>
        <v>4</v>
      </c>
      <c r="X140" s="911">
        <f>ROUNDUP('Tower configuration'!BI50,0)</f>
        <v>6</v>
      </c>
      <c r="Y140" s="908" t="b">
        <f t="shared" si="8"/>
        <v>1</v>
      </c>
      <c r="Z140" s="895" t="b">
        <f t="shared" si="6"/>
        <v>0</v>
      </c>
      <c r="AA140" s="915" t="b">
        <f t="shared" si="7"/>
        <v>0</v>
      </c>
    </row>
    <row r="141" spans="1:27" x14ac:dyDescent="0.25">
      <c r="A141" s="622"/>
      <c r="B141" s="622"/>
      <c r="C141" s="622"/>
      <c r="D141" s="630"/>
      <c r="L141" s="49" t="e">
        <f>#REF!</f>
        <v>#REF!</v>
      </c>
      <c r="M141" s="335" t="e">
        <f>'Tower configuration'!#REF!</f>
        <v>#REF!</v>
      </c>
      <c r="N141" s="49" t="e">
        <f>M141=#REF!</f>
        <v>#REF!</v>
      </c>
      <c r="P141" s="900" t="e">
        <f>#REF!</f>
        <v>#REF!</v>
      </c>
      <c r="Q141" s="522" t="e">
        <f>#REF!</f>
        <v>#REF!</v>
      </c>
      <c r="R141" s="903" t="e">
        <f>#REF!</f>
        <v>#REF!</v>
      </c>
      <c r="S141" s="921" t="e">
        <f>'Tower configuration'!#REF!</f>
        <v>#REF!</v>
      </c>
      <c r="T141" s="922" t="e">
        <f>'Tower configuration'!#REF!</f>
        <v>#REF!</v>
      </c>
      <c r="U141" s="923" t="e">
        <f>'Tower configuration'!#REF!</f>
        <v>#REF!</v>
      </c>
      <c r="V141" s="908" t="e">
        <f>ROUNDUP('Tower configuration'!#REF!,0)</f>
        <v>#REF!</v>
      </c>
      <c r="W141" s="890" t="e">
        <f>ROUNDUP('Tower configuration'!#REF!,0)</f>
        <v>#REF!</v>
      </c>
      <c r="X141" s="911" t="e">
        <f>ROUNDUP('Tower configuration'!#REF!,0)</f>
        <v>#REF!</v>
      </c>
      <c r="Y141" s="908" t="e">
        <f t="shared" si="8"/>
        <v>#REF!</v>
      </c>
      <c r="Z141" s="895" t="e">
        <f t="shared" si="6"/>
        <v>#REF!</v>
      </c>
      <c r="AA141" s="915" t="e">
        <f t="shared" si="7"/>
        <v>#REF!</v>
      </c>
    </row>
    <row r="142" spans="1:27" ht="15.75" thickBot="1" x14ac:dyDescent="0.3">
      <c r="A142" s="622"/>
      <c r="B142" s="622"/>
      <c r="C142" s="622"/>
      <c r="D142" s="631"/>
      <c r="L142" s="49" t="e">
        <f>#REF!</f>
        <v>#REF!</v>
      </c>
      <c r="M142" s="335" t="e">
        <f>'Tower configuration'!#REF!</f>
        <v>#REF!</v>
      </c>
      <c r="N142" s="49" t="e">
        <f>M142=#REF!</f>
        <v>#REF!</v>
      </c>
      <c r="P142" s="901" t="e">
        <f>#REF!</f>
        <v>#REF!</v>
      </c>
      <c r="Q142" s="559" t="e">
        <f>#REF!</f>
        <v>#REF!</v>
      </c>
      <c r="R142" s="904" t="e">
        <f>#REF!</f>
        <v>#REF!</v>
      </c>
      <c r="S142" s="924" t="e">
        <f>'Tower configuration'!#REF!</f>
        <v>#REF!</v>
      </c>
      <c r="T142" s="925" t="e">
        <f>'Tower configuration'!#REF!</f>
        <v>#REF!</v>
      </c>
      <c r="U142" s="926" t="e">
        <f>'Tower configuration'!#REF!</f>
        <v>#REF!</v>
      </c>
      <c r="V142" s="909" t="e">
        <f>ROUNDUP('Tower configuration'!#REF!,0)</f>
        <v>#REF!</v>
      </c>
      <c r="W142" s="891" t="e">
        <f>ROUNDUP('Tower configuration'!#REF!,0)</f>
        <v>#REF!</v>
      </c>
      <c r="X142" s="912" t="e">
        <f>ROUNDUP('Tower configuration'!#REF!,0)</f>
        <v>#REF!</v>
      </c>
      <c r="Y142" s="909" t="e">
        <f t="shared" si="8"/>
        <v>#REF!</v>
      </c>
      <c r="Z142" s="892" t="e">
        <f t="shared" si="6"/>
        <v>#REF!</v>
      </c>
      <c r="AA142" s="893" t="e">
        <f t="shared" si="7"/>
        <v>#REF!</v>
      </c>
    </row>
    <row r="143" spans="1:27" x14ac:dyDescent="0.25">
      <c r="A143" s="626"/>
      <c r="B143" s="626"/>
      <c r="C143" s="626"/>
      <c r="D143" s="630"/>
    </row>
    <row r="144" spans="1:27" x14ac:dyDescent="0.25">
      <c r="A144" s="626"/>
      <c r="B144" s="626"/>
      <c r="C144" s="626"/>
      <c r="D144" s="630"/>
    </row>
    <row r="145" spans="1:4" x14ac:dyDescent="0.25">
      <c r="A145" s="622"/>
      <c r="B145" s="622"/>
      <c r="C145" s="622"/>
      <c r="D145" s="630"/>
    </row>
    <row r="146" spans="1:4" x14ac:dyDescent="0.25">
      <c r="A146" s="622"/>
      <c r="B146" s="622"/>
      <c r="C146" s="622"/>
      <c r="D146" s="630"/>
    </row>
    <row r="147" spans="1:4" x14ac:dyDescent="0.25">
      <c r="A147" s="622"/>
      <c r="B147" s="622"/>
      <c r="C147" s="622"/>
      <c r="D147" s="630"/>
    </row>
    <row r="148" spans="1:4" ht="15.75" x14ac:dyDescent="0.25">
      <c r="A148" s="629"/>
      <c r="B148" s="625"/>
      <c r="C148" s="629"/>
      <c r="D148" s="633"/>
    </row>
    <row r="149" spans="1:4" ht="15.75" x14ac:dyDescent="0.25">
      <c r="A149" s="629"/>
      <c r="B149" s="625"/>
      <c r="C149" s="629"/>
      <c r="D149" s="633"/>
    </row>
    <row r="150" spans="1:4" ht="15.75" x14ac:dyDescent="0.25">
      <c r="A150" s="629"/>
      <c r="B150" s="625"/>
      <c r="C150" s="629"/>
      <c r="D150" s="633"/>
    </row>
    <row r="151" spans="1:4" ht="15.75" x14ac:dyDescent="0.25">
      <c r="A151" s="629"/>
      <c r="B151" s="625"/>
      <c r="C151" s="629"/>
      <c r="D151" s="633"/>
    </row>
    <row r="152" spans="1:4" ht="15.75" x14ac:dyDescent="0.25">
      <c r="A152" s="629"/>
      <c r="B152" s="625"/>
      <c r="C152" s="629"/>
      <c r="D152" s="633"/>
    </row>
    <row r="153" spans="1:4" ht="15.75" x14ac:dyDescent="0.25">
      <c r="A153" s="629"/>
      <c r="B153" s="625"/>
      <c r="C153" s="629"/>
      <c r="D153" s="633"/>
    </row>
    <row r="154" spans="1:4" ht="15.75" x14ac:dyDescent="0.25">
      <c r="A154" s="629"/>
      <c r="B154" s="625"/>
      <c r="C154" s="629"/>
      <c r="D154" s="633"/>
    </row>
    <row r="155" spans="1:4" ht="15.75" x14ac:dyDescent="0.25">
      <c r="A155" s="629"/>
      <c r="B155" s="625"/>
      <c r="C155" s="629"/>
      <c r="D155" s="633"/>
    </row>
    <row r="156" spans="1:4" ht="15.75" x14ac:dyDescent="0.25">
      <c r="A156" s="629"/>
      <c r="B156" s="625"/>
      <c r="C156" s="629"/>
      <c r="D156" s="633"/>
    </row>
    <row r="157" spans="1:4" ht="15.75" x14ac:dyDescent="0.25">
      <c r="A157" s="629"/>
      <c r="B157" s="625"/>
      <c r="C157" s="629"/>
      <c r="D157" s="633"/>
    </row>
    <row r="158" spans="1:4" ht="15.75" x14ac:dyDescent="0.25">
      <c r="A158" s="629"/>
      <c r="B158" s="625"/>
      <c r="C158" s="629"/>
      <c r="D158" s="633"/>
    </row>
    <row r="159" spans="1:4" ht="15.75" x14ac:dyDescent="0.25">
      <c r="A159" s="629"/>
      <c r="B159" s="625"/>
      <c r="C159" s="629"/>
      <c r="D159" s="633"/>
    </row>
    <row r="160" spans="1:4" ht="15.75" x14ac:dyDescent="0.25">
      <c r="A160" s="629"/>
      <c r="B160" s="625"/>
      <c r="C160" s="629"/>
      <c r="D160" s="633"/>
    </row>
    <row r="161" spans="1:4" ht="15.75" x14ac:dyDescent="0.25">
      <c r="A161" s="629"/>
      <c r="B161" s="625"/>
      <c r="C161" s="629"/>
      <c r="D161" s="633"/>
    </row>
    <row r="162" spans="1:4" ht="15.75" x14ac:dyDescent="0.25">
      <c r="A162" s="629"/>
      <c r="B162" s="625"/>
      <c r="C162" s="629"/>
      <c r="D162" s="633"/>
    </row>
    <row r="163" spans="1:4" ht="15.75" x14ac:dyDescent="0.25">
      <c r="A163" s="629"/>
      <c r="B163" s="625"/>
      <c r="C163" s="629"/>
      <c r="D163" s="633"/>
    </row>
    <row r="164" spans="1:4" ht="15.75" x14ac:dyDescent="0.25">
      <c r="A164" s="629"/>
      <c r="B164" s="625"/>
      <c r="C164" s="629"/>
      <c r="D164" s="633"/>
    </row>
    <row r="165" spans="1:4" ht="15.75" x14ac:dyDescent="0.25">
      <c r="A165" s="629"/>
      <c r="B165" s="625"/>
      <c r="C165" s="629"/>
      <c r="D165" s="633"/>
    </row>
    <row r="166" spans="1:4" ht="15.75" x14ac:dyDescent="0.25">
      <c r="A166" s="629"/>
      <c r="B166" s="625"/>
      <c r="C166" s="629"/>
      <c r="D166" s="633"/>
    </row>
    <row r="167" spans="1:4" ht="15.75" x14ac:dyDescent="0.25">
      <c r="A167" s="629"/>
      <c r="B167" s="625"/>
      <c r="C167" s="629"/>
      <c r="D167" s="633"/>
    </row>
    <row r="168" spans="1:4" ht="15.75" x14ac:dyDescent="0.25">
      <c r="A168" s="629"/>
      <c r="B168" s="625"/>
      <c r="C168" s="629"/>
      <c r="D168" s="633"/>
    </row>
    <row r="169" spans="1:4" ht="15.75" x14ac:dyDescent="0.25">
      <c r="A169" s="629"/>
      <c r="B169" s="625"/>
      <c r="C169" s="629"/>
      <c r="D169" s="633"/>
    </row>
    <row r="170" spans="1:4" ht="15.75" x14ac:dyDescent="0.25">
      <c r="A170" s="629"/>
      <c r="B170" s="625"/>
      <c r="C170" s="629"/>
      <c r="D170" s="633"/>
    </row>
    <row r="171" spans="1:4" ht="15.75" x14ac:dyDescent="0.25">
      <c r="A171" s="629"/>
      <c r="B171" s="625"/>
      <c r="C171" s="629"/>
      <c r="D171" s="633"/>
    </row>
    <row r="172" spans="1:4" ht="15.75" x14ac:dyDescent="0.25">
      <c r="A172" s="629"/>
      <c r="B172" s="625"/>
      <c r="C172" s="629"/>
      <c r="D172" s="633"/>
    </row>
    <row r="173" spans="1:4" ht="15.75" x14ac:dyDescent="0.25">
      <c r="A173" s="629"/>
      <c r="B173" s="625"/>
      <c r="C173" s="629"/>
      <c r="D173" s="633"/>
    </row>
    <row r="174" spans="1:4" ht="15.75" x14ac:dyDescent="0.25">
      <c r="A174" s="629"/>
      <c r="B174" s="625"/>
      <c r="C174" s="629"/>
      <c r="D174" s="633"/>
    </row>
    <row r="175" spans="1:4" ht="15.75" x14ac:dyDescent="0.25">
      <c r="A175" s="629"/>
      <c r="B175" s="625"/>
      <c r="C175" s="629"/>
      <c r="D175" s="633"/>
    </row>
    <row r="176" spans="1:4" ht="15.75" x14ac:dyDescent="0.25">
      <c r="A176" s="629"/>
      <c r="B176" s="625"/>
      <c r="C176" s="629"/>
      <c r="D176" s="633"/>
    </row>
    <row r="177" spans="1:4" ht="15.75" x14ac:dyDescent="0.25">
      <c r="A177" s="633"/>
      <c r="B177" s="625"/>
      <c r="C177" s="633"/>
      <c r="D177" s="633"/>
    </row>
    <row r="178" spans="1:4" ht="15.75" x14ac:dyDescent="0.25">
      <c r="A178" s="633"/>
      <c r="B178" s="625"/>
      <c r="C178" s="633"/>
      <c r="D178" s="633"/>
    </row>
    <row r="179" spans="1:4" ht="15.75" x14ac:dyDescent="0.25">
      <c r="A179" s="629"/>
      <c r="B179" s="625"/>
      <c r="C179" s="629"/>
      <c r="D179" s="633"/>
    </row>
    <row r="180" spans="1:4" ht="15.75" x14ac:dyDescent="0.25">
      <c r="A180" s="629"/>
      <c r="B180" s="625"/>
      <c r="C180" s="629"/>
      <c r="D180" s="633"/>
    </row>
    <row r="181" spans="1:4" ht="15.75" x14ac:dyDescent="0.25">
      <c r="A181" s="629"/>
      <c r="B181" s="625"/>
      <c r="C181" s="629"/>
      <c r="D181" s="633"/>
    </row>
    <row r="182" spans="1:4" ht="15.75" x14ac:dyDescent="0.25">
      <c r="A182" s="629"/>
      <c r="B182" s="625"/>
      <c r="C182" s="629"/>
      <c r="D182" s="633"/>
    </row>
    <row r="183" spans="1:4" ht="15.75" x14ac:dyDescent="0.25">
      <c r="A183" s="629"/>
      <c r="B183" s="625"/>
      <c r="C183" s="629"/>
      <c r="D183" s="633"/>
    </row>
    <row r="184" spans="1:4" ht="15.75" x14ac:dyDescent="0.25">
      <c r="A184" s="629"/>
      <c r="B184" s="625"/>
      <c r="C184" s="629"/>
      <c r="D184" s="633"/>
    </row>
    <row r="185" spans="1:4" ht="15.75" x14ac:dyDescent="0.25">
      <c r="A185" s="629"/>
      <c r="B185" s="625"/>
      <c r="C185" s="629"/>
      <c r="D185" s="633"/>
    </row>
    <row r="186" spans="1:4" ht="15.75" x14ac:dyDescent="0.25">
      <c r="A186" s="629"/>
      <c r="B186" s="625"/>
      <c r="C186" s="629"/>
      <c r="D186" s="633"/>
    </row>
    <row r="187" spans="1:4" ht="15.75" x14ac:dyDescent="0.25">
      <c r="A187" s="629"/>
      <c r="B187" s="625"/>
      <c r="C187" s="629"/>
      <c r="D187" s="633"/>
    </row>
    <row r="188" spans="1:4" ht="15.75" x14ac:dyDescent="0.25">
      <c r="A188" s="629"/>
      <c r="B188" s="625"/>
      <c r="C188" s="629"/>
      <c r="D188" s="633"/>
    </row>
    <row r="189" spans="1:4" ht="15.75" x14ac:dyDescent="0.25">
      <c r="A189" s="629"/>
      <c r="B189" s="625"/>
      <c r="C189" s="629"/>
      <c r="D189" s="633"/>
    </row>
    <row r="190" spans="1:4" ht="15.75" x14ac:dyDescent="0.25">
      <c r="A190" s="629"/>
      <c r="B190" s="625"/>
      <c r="C190" s="629"/>
      <c r="D190" s="633"/>
    </row>
    <row r="191" spans="1:4" ht="15.75" x14ac:dyDescent="0.25">
      <c r="A191" s="629"/>
      <c r="B191" s="625"/>
      <c r="C191" s="629"/>
      <c r="D191" s="633"/>
    </row>
    <row r="192" spans="1:4" ht="15.75" x14ac:dyDescent="0.25">
      <c r="A192" s="629"/>
      <c r="B192" s="625"/>
      <c r="C192" s="629"/>
      <c r="D192" s="633"/>
    </row>
    <row r="193" spans="1:4" ht="15.75" x14ac:dyDescent="0.25">
      <c r="A193" s="629"/>
      <c r="B193" s="625"/>
      <c r="C193" s="629"/>
      <c r="D193" s="633"/>
    </row>
  </sheetData>
  <autoFilter ref="A3:AT51"/>
  <mergeCells count="7">
    <mergeCell ref="AF2:AL2"/>
    <mergeCell ref="AM2:AS2"/>
    <mergeCell ref="E2:I2"/>
    <mergeCell ref="A2:D2"/>
    <mergeCell ref="J2:P2"/>
    <mergeCell ref="Q2:V2"/>
    <mergeCell ref="W2:AE2"/>
  </mergeCells>
  <conditionalFormatting sqref="U4:V50">
    <cfRule type="expression" dxfId="112" priority="37">
      <formula>U4=T4</formula>
    </cfRule>
  </conditionalFormatting>
  <conditionalFormatting sqref="H4:H51">
    <cfRule type="expression" dxfId="111" priority="36">
      <formula>$E4&lt;&gt;"Core"</formula>
    </cfRule>
  </conditionalFormatting>
  <conditionalFormatting sqref="AB34 AD34:AK34 AC50:AK50 AM4:AT51 A4:V18 A19:O43 Q19:V43 A45:O51 Q45:V51 A44:V44 Z50:AA50 Z51:AK51 Z35:AK49 Z4:AK33">
    <cfRule type="expression" dxfId="110" priority="34">
      <formula>$C4="Soft"</formula>
    </cfRule>
  </conditionalFormatting>
  <conditionalFormatting sqref="M4:N50">
    <cfRule type="expression" dxfId="109" priority="2529" stopIfTrue="1">
      <formula>VALUE(MID(M$3,7,2))&gt;#REF!</formula>
    </cfRule>
    <cfRule type="expression" dxfId="108" priority="2530">
      <formula>LEFT(M4,3)="Sta"</formula>
    </cfRule>
    <cfRule type="expression" dxfId="107" priority="2531">
      <formula>LEFT(M4,3)="Hea"</formula>
    </cfRule>
    <cfRule type="expression" dxfId="106" priority="2532">
      <formula>LEFT(M4,3)="Ext"</formula>
    </cfRule>
  </conditionalFormatting>
  <conditionalFormatting sqref="AB34 AA50 AA51:AB51 AA35:AB49 AA4:AB33">
    <cfRule type="expression" dxfId="105" priority="33">
      <formula>LEFT(AA4,1)&lt;&gt;"y"</formula>
    </cfRule>
  </conditionalFormatting>
  <conditionalFormatting sqref="AB34 AD34 Z50:AA50 AC50:AD50 Z51:AD51 Z35:AD49 Z4:AD33 E4:H51 J4:O51 Q4:U51 AF4:AK51 AN4:AN51">
    <cfRule type="expression" dxfId="104" priority="32">
      <formula>E4=""</formula>
    </cfRule>
  </conditionalFormatting>
  <conditionalFormatting sqref="J4:L51">
    <cfRule type="expression" dxfId="103" priority="35">
      <formula>$J4=0</formula>
    </cfRule>
  </conditionalFormatting>
  <conditionalFormatting sqref="V83:X142">
    <cfRule type="expression" dxfId="102" priority="31">
      <formula>V83</formula>
    </cfRule>
  </conditionalFormatting>
  <conditionalFormatting sqref="Y83:AA142">
    <cfRule type="expression" dxfId="101" priority="30">
      <formula>Y83</formula>
    </cfRule>
  </conditionalFormatting>
  <conditionalFormatting sqref="S83:U142">
    <cfRule type="expression" dxfId="100" priority="29">
      <formula>Y83=FALSE</formula>
    </cfRule>
  </conditionalFormatting>
  <conditionalFormatting sqref="P83:R142">
    <cfRule type="expression" dxfId="99" priority="28">
      <formula>Y83=FALSE</formula>
    </cfRule>
  </conditionalFormatting>
  <conditionalFormatting sqref="Z34">
    <cfRule type="expression" dxfId="98" priority="23">
      <formula>$C34="Soft"</formula>
    </cfRule>
  </conditionalFormatting>
  <conditionalFormatting sqref="Z34">
    <cfRule type="expression" dxfId="97" priority="22">
      <formula>Z34=""</formula>
    </cfRule>
  </conditionalFormatting>
  <conditionalFormatting sqref="AC34">
    <cfRule type="expression" dxfId="96" priority="21">
      <formula>$C34="Soft"</formula>
    </cfRule>
  </conditionalFormatting>
  <conditionalFormatting sqref="AC34">
    <cfRule type="expression" dxfId="95" priority="20">
      <formula>AC34=""</formula>
    </cfRule>
  </conditionalFormatting>
  <conditionalFormatting sqref="AA34">
    <cfRule type="expression" dxfId="94" priority="19">
      <formula>$C34="Soft"</formula>
    </cfRule>
  </conditionalFormatting>
  <conditionalFormatting sqref="AA34">
    <cfRule type="expression" dxfId="93" priority="18">
      <formula>LEFT(AA34,1)&lt;&gt;"y"</formula>
    </cfRule>
  </conditionalFormatting>
  <conditionalFormatting sqref="AA34">
    <cfRule type="expression" dxfId="92" priority="17">
      <formula>AA34=""</formula>
    </cfRule>
  </conditionalFormatting>
  <conditionalFormatting sqref="AL4:AL51">
    <cfRule type="expression" dxfId="91" priority="14">
      <formula>$F4&lt;&gt;"Extreme Heated"</formula>
    </cfRule>
    <cfRule type="expression" dxfId="90" priority="16">
      <formula>$C4="Soft"</formula>
    </cfRule>
  </conditionalFormatting>
  <conditionalFormatting sqref="AB50">
    <cfRule type="expression" dxfId="89" priority="13">
      <formula>$C50="Soft"</formula>
    </cfRule>
  </conditionalFormatting>
  <conditionalFormatting sqref="AB50">
    <cfRule type="expression" dxfId="88" priority="12">
      <formula>LEFT(AB50,1)&lt;&gt;"y"</formula>
    </cfRule>
  </conditionalFormatting>
  <conditionalFormatting sqref="AB50">
    <cfRule type="expression" dxfId="87" priority="11">
      <formula>AB50=""</formula>
    </cfRule>
  </conditionalFormatting>
  <conditionalFormatting sqref="P19:P43">
    <cfRule type="expression" dxfId="86" priority="10">
      <formula>$C19="Soft"</formula>
    </cfRule>
  </conditionalFormatting>
  <conditionalFormatting sqref="P45:P51">
    <cfRule type="expression" dxfId="85" priority="9">
      <formula>$C45="Soft"</formula>
    </cfRule>
  </conditionalFormatting>
  <conditionalFormatting sqref="W35:Y49 W4:Y33 W51:Y51">
    <cfRule type="expression" dxfId="84" priority="8">
      <formula>$C4="Soft"</formula>
    </cfRule>
  </conditionalFormatting>
  <conditionalFormatting sqref="W35:Y49 W4:Y33 W51:Y51">
    <cfRule type="expression" dxfId="83" priority="7">
      <formula>W4=""</formula>
    </cfRule>
  </conditionalFormatting>
  <conditionalFormatting sqref="W34:Y34">
    <cfRule type="expression" dxfId="82" priority="6">
      <formula>$C34="Soft"</formula>
    </cfRule>
  </conditionalFormatting>
  <conditionalFormatting sqref="W34:Y34">
    <cfRule type="expression" dxfId="81" priority="5">
      <formula>W34=""</formula>
    </cfRule>
  </conditionalFormatting>
  <conditionalFormatting sqref="AU4:AU36">
    <cfRule type="expression" dxfId="80" priority="4">
      <formula>$C4="Soft"</formula>
    </cfRule>
  </conditionalFormatting>
  <conditionalFormatting sqref="AU37:AU51">
    <cfRule type="expression" dxfId="79" priority="3">
      <formula>$C37="Soft"</formula>
    </cfRule>
  </conditionalFormatting>
  <conditionalFormatting sqref="W50:Y50">
    <cfRule type="expression" dxfId="78" priority="2">
      <formula>$C50="Soft"</formula>
    </cfRule>
  </conditionalFormatting>
  <conditionalFormatting sqref="W50:Y50">
    <cfRule type="expression" dxfId="77" priority="1">
      <formula>W50=""</formula>
    </cfRule>
  </conditionalFormatting>
  <pageMargins left="0.7" right="0.7" top="0.75" bottom="0.75" header="0.3" footer="0.3"/>
  <pageSetup paperSize="17" orientation="landscape" r:id="rId1"/>
  <rowBreaks count="1" manualBreakCount="1">
    <brk id="36" max="4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EV255"/>
  <sheetViews>
    <sheetView showZeros="0" zoomScale="85" zoomScaleNormal="85" workbookViewId="0">
      <pane xSplit="4" ySplit="3" topLeftCell="Z15" activePane="bottomRight" state="frozen"/>
      <selection pane="topRight" activeCell="E1" sqref="E1"/>
      <selection pane="bottomLeft" activeCell="A4" sqref="A4"/>
      <selection pane="bottomRight" activeCell="AW43" sqref="AW43"/>
    </sheetView>
  </sheetViews>
  <sheetFormatPr defaultRowHeight="15" x14ac:dyDescent="0.25"/>
  <cols>
    <col min="1" max="1" width="12.85546875" style="362" customWidth="1"/>
    <col min="2" max="2" width="9.140625" style="363"/>
    <col min="3" max="3" width="9.85546875" style="363" customWidth="1"/>
    <col min="4" max="4" width="47.85546875" style="363" customWidth="1"/>
    <col min="5" max="6" width="10.42578125" style="359" customWidth="1"/>
    <col min="7" max="14" width="9.140625" style="362"/>
    <col min="15" max="15" width="10.7109375" style="363" customWidth="1"/>
    <col min="16" max="16" width="16.28515625" style="362" customWidth="1"/>
    <col min="17" max="17" width="10.7109375" style="363" customWidth="1"/>
    <col min="18" max="18" width="15.28515625" style="363" customWidth="1"/>
    <col min="19" max="19" width="10.28515625" style="363" customWidth="1"/>
    <col min="20" max="20" width="9.42578125" style="363" customWidth="1"/>
    <col min="21" max="37" width="8.42578125" style="363" customWidth="1"/>
    <col min="38" max="38" width="13" style="363" customWidth="1"/>
    <col min="39" max="39" width="13.7109375" style="363" customWidth="1"/>
    <col min="40" max="40" width="14.42578125" style="363" customWidth="1"/>
    <col min="41" max="41" width="12.42578125" style="359" customWidth="1"/>
    <col min="42" max="42" width="9.140625" style="362" customWidth="1" collapsed="1"/>
    <col min="43" max="57" width="9.140625" style="362" customWidth="1"/>
    <col min="58" max="64" width="9.5703125" style="600" customWidth="1"/>
    <col min="65" max="65" width="9.5703125" style="362" customWidth="1"/>
    <col min="66" max="74" width="9" style="362" customWidth="1"/>
    <col min="75" max="84" width="10" style="362" customWidth="1"/>
    <col min="85" max="85" width="16.7109375" style="363" customWidth="1"/>
    <col min="86" max="93" width="9" style="363" customWidth="1"/>
    <col min="94" max="102" width="10" style="363" customWidth="1"/>
    <col min="103" max="103" width="11.28515625" style="363" customWidth="1"/>
    <col min="104" max="104" width="11.28515625" style="600" customWidth="1"/>
    <col min="105" max="105" width="11.28515625" style="363" customWidth="1"/>
    <col min="106" max="106" width="11.28515625" style="600" customWidth="1"/>
    <col min="107" max="107" width="11.28515625" style="363" customWidth="1"/>
    <col min="108" max="109" width="11.28515625" style="600" customWidth="1"/>
    <col min="110" max="110" width="11.28515625" style="363" customWidth="1"/>
    <col min="111" max="111" width="11.28515625" style="600" customWidth="1"/>
    <col min="112" max="112" width="8.42578125" style="363" customWidth="1"/>
    <col min="113" max="113" width="14" style="363" customWidth="1"/>
    <col min="114" max="114" width="7.85546875" style="363" customWidth="1"/>
    <col min="115" max="115" width="9" style="363" customWidth="1"/>
    <col min="116" max="116" width="9.140625" style="363" customWidth="1"/>
    <col min="117" max="117" width="7.85546875" style="363" customWidth="1"/>
    <col min="118" max="137" width="9.140625" style="363"/>
    <col min="138" max="145" width="9.140625" style="363" hidden="1" customWidth="1"/>
    <col min="146" max="146" width="10.42578125" style="363" customWidth="1"/>
    <col min="147" max="147" width="14" style="363" customWidth="1"/>
    <col min="148" max="148" width="12.7109375" style="363" customWidth="1"/>
    <col min="149" max="149" width="15.42578125" style="363" customWidth="1"/>
    <col min="150" max="150" width="9.140625" style="363" customWidth="1"/>
    <col min="151" max="16384" width="9.140625" style="363"/>
  </cols>
  <sheetData>
    <row r="1" spans="1:152" ht="15" customHeight="1" thickBot="1" x14ac:dyDescent="0.3">
      <c r="A1" s="511">
        <v>1</v>
      </c>
      <c r="B1" s="512">
        <f>A1+1</f>
        <v>2</v>
      </c>
      <c r="C1" s="512">
        <f t="shared" ref="C1:D1" si="0">B1+1</f>
        <v>3</v>
      </c>
      <c r="D1" s="513">
        <f t="shared" si="0"/>
        <v>4</v>
      </c>
      <c r="E1" s="783">
        <f t="shared" ref="E1" si="1">D1+1</f>
        <v>5</v>
      </c>
      <c r="F1" s="783">
        <f t="shared" ref="F1" si="2">E1+1</f>
        <v>6</v>
      </c>
      <c r="G1" s="512">
        <f t="shared" ref="G1" si="3">F1+1</f>
        <v>7</v>
      </c>
      <c r="H1" s="512">
        <f t="shared" ref="H1" si="4">G1+1</f>
        <v>8</v>
      </c>
      <c r="I1" s="512">
        <f t="shared" ref="I1" si="5">H1+1</f>
        <v>9</v>
      </c>
      <c r="J1" s="512">
        <f t="shared" ref="J1" si="6">I1+1</f>
        <v>10</v>
      </c>
      <c r="K1" s="512">
        <f t="shared" ref="K1" si="7">J1+1</f>
        <v>11</v>
      </c>
      <c r="L1" s="512">
        <f t="shared" ref="L1" si="8">K1+1</f>
        <v>12</v>
      </c>
      <c r="M1" s="512">
        <f t="shared" ref="M1" si="9">L1+1</f>
        <v>13</v>
      </c>
      <c r="N1" s="590">
        <f t="shared" ref="N1" si="10">M1+1</f>
        <v>14</v>
      </c>
      <c r="O1" s="511">
        <f t="shared" ref="O1" si="11">N1+1</f>
        <v>15</v>
      </c>
      <c r="P1" s="512">
        <f t="shared" ref="P1" si="12">O1+1</f>
        <v>16</v>
      </c>
      <c r="Q1" s="512">
        <f t="shared" ref="Q1" si="13">P1+1</f>
        <v>17</v>
      </c>
      <c r="R1" s="512">
        <f t="shared" ref="R1" si="14">Q1+1</f>
        <v>18</v>
      </c>
      <c r="S1" s="512">
        <f t="shared" ref="S1" si="15">R1+1</f>
        <v>19</v>
      </c>
      <c r="T1" s="512">
        <f t="shared" ref="T1" si="16">S1+1</f>
        <v>20</v>
      </c>
      <c r="U1" s="512">
        <f t="shared" ref="U1" si="17">T1+1</f>
        <v>21</v>
      </c>
      <c r="V1" s="512">
        <f t="shared" ref="V1" si="18">U1+1</f>
        <v>22</v>
      </c>
      <c r="W1" s="512">
        <f t="shared" ref="W1" si="19">V1+1</f>
        <v>23</v>
      </c>
      <c r="X1" s="512">
        <f t="shared" ref="X1" si="20">W1+1</f>
        <v>24</v>
      </c>
      <c r="Y1" s="512">
        <f t="shared" ref="Y1" si="21">X1+1</f>
        <v>25</v>
      </c>
      <c r="Z1" s="512">
        <f t="shared" ref="Z1" si="22">Y1+1</f>
        <v>26</v>
      </c>
      <c r="AA1" s="512">
        <f t="shared" ref="AA1" si="23">Z1+1</f>
        <v>27</v>
      </c>
      <c r="AB1" s="512">
        <f t="shared" ref="AB1" si="24">AA1+1</f>
        <v>28</v>
      </c>
      <c r="AC1" s="512">
        <f t="shared" ref="AC1" si="25">AB1+1</f>
        <v>29</v>
      </c>
      <c r="AD1" s="512">
        <f t="shared" ref="AD1" si="26">AC1+1</f>
        <v>30</v>
      </c>
      <c r="AE1" s="512">
        <f t="shared" ref="AE1" si="27">AD1+1</f>
        <v>31</v>
      </c>
      <c r="AF1" s="512">
        <f t="shared" ref="AF1" si="28">AE1+1</f>
        <v>32</v>
      </c>
      <c r="AG1" s="512">
        <f t="shared" ref="AG1" si="29">AF1+1</f>
        <v>33</v>
      </c>
      <c r="AH1" s="512">
        <f t="shared" ref="AH1" si="30">AG1+1</f>
        <v>34</v>
      </c>
      <c r="AI1" s="512">
        <f t="shared" ref="AI1" si="31">AH1+1</f>
        <v>35</v>
      </c>
      <c r="AJ1" s="512">
        <f t="shared" ref="AJ1" si="32">AI1+1</f>
        <v>36</v>
      </c>
      <c r="AK1" s="590">
        <f t="shared" ref="AK1" si="33">AJ1+1</f>
        <v>37</v>
      </c>
      <c r="AL1" s="511">
        <f t="shared" ref="AL1" si="34">AK1+1</f>
        <v>38</v>
      </c>
      <c r="AM1" s="512">
        <f t="shared" ref="AM1" si="35">AL1+1</f>
        <v>39</v>
      </c>
      <c r="AN1" s="512">
        <f t="shared" ref="AN1" si="36">AM1+1</f>
        <v>40</v>
      </c>
      <c r="AO1" s="513">
        <f t="shared" ref="AO1" si="37">AN1+1</f>
        <v>41</v>
      </c>
      <c r="AP1" s="511">
        <f t="shared" ref="AP1" si="38">AO1+1</f>
        <v>42</v>
      </c>
      <c r="AQ1" s="512">
        <f t="shared" ref="AQ1" si="39">AP1+1</f>
        <v>43</v>
      </c>
      <c r="AR1" s="512">
        <f t="shared" ref="AR1" si="40">AQ1+1</f>
        <v>44</v>
      </c>
      <c r="AS1" s="512">
        <f t="shared" ref="AS1" si="41">AR1+1</f>
        <v>45</v>
      </c>
      <c r="AT1" s="512">
        <f t="shared" ref="AT1" si="42">AS1+1</f>
        <v>46</v>
      </c>
      <c r="AU1" s="512">
        <f t="shared" ref="AU1" si="43">AT1+1</f>
        <v>47</v>
      </c>
      <c r="AV1" s="512">
        <f t="shared" ref="AV1" si="44">AU1+1</f>
        <v>48</v>
      </c>
      <c r="AW1" s="513">
        <f t="shared" ref="AW1" si="45">AV1+1</f>
        <v>49</v>
      </c>
      <c r="AX1" s="848">
        <f t="shared" ref="AX1" si="46">AW1+1</f>
        <v>50</v>
      </c>
      <c r="AY1" s="849">
        <f t="shared" ref="AY1" si="47">AX1+1</f>
        <v>51</v>
      </c>
      <c r="AZ1" s="849">
        <f t="shared" ref="AZ1" si="48">AY1+1</f>
        <v>52</v>
      </c>
      <c r="BA1" s="849">
        <f t="shared" ref="BA1" si="49">AZ1+1</f>
        <v>53</v>
      </c>
      <c r="BB1" s="849">
        <f t="shared" ref="BB1" si="50">BA1+1</f>
        <v>54</v>
      </c>
      <c r="BC1" s="849">
        <f t="shared" ref="BC1" si="51">BB1+1</f>
        <v>55</v>
      </c>
      <c r="BD1" s="849">
        <f t="shared" ref="BD1" si="52">BC1+1</f>
        <v>56</v>
      </c>
      <c r="BE1" s="850">
        <f t="shared" ref="BE1" si="53">BD1+1</f>
        <v>57</v>
      </c>
      <c r="BF1" s="511">
        <f t="shared" ref="BF1" si="54">BE1+1</f>
        <v>58</v>
      </c>
      <c r="BG1" s="512">
        <f t="shared" ref="BG1" si="55">BF1+1</f>
        <v>59</v>
      </c>
      <c r="BH1" s="512">
        <f t="shared" ref="BH1" si="56">BG1+1</f>
        <v>60</v>
      </c>
      <c r="BI1" s="512">
        <f t="shared" ref="BI1" si="57">BH1+1</f>
        <v>61</v>
      </c>
      <c r="BJ1" s="512">
        <f t="shared" ref="BJ1" si="58">BI1+1</f>
        <v>62</v>
      </c>
      <c r="BK1" s="512">
        <f t="shared" ref="BK1" si="59">BJ1+1</f>
        <v>63</v>
      </c>
      <c r="BL1" s="512">
        <f t="shared" ref="BL1" si="60">BK1+1</f>
        <v>64</v>
      </c>
      <c r="BM1" s="513">
        <f t="shared" ref="BM1" si="61">BL1+1</f>
        <v>65</v>
      </c>
      <c r="BN1" s="511">
        <f t="shared" ref="BN1" si="62">BM1+1</f>
        <v>66</v>
      </c>
      <c r="BO1" s="512">
        <f t="shared" ref="BO1" si="63">BN1+1</f>
        <v>67</v>
      </c>
      <c r="BP1" s="512">
        <f t="shared" ref="BP1" si="64">BO1+1</f>
        <v>68</v>
      </c>
      <c r="BQ1" s="512">
        <f t="shared" ref="BQ1" si="65">BP1+1</f>
        <v>69</v>
      </c>
      <c r="BR1" s="512">
        <f t="shared" ref="BR1" si="66">BQ1+1</f>
        <v>70</v>
      </c>
      <c r="BS1" s="512">
        <f t="shared" ref="BS1" si="67">BR1+1</f>
        <v>71</v>
      </c>
      <c r="BT1" s="512">
        <f t="shared" ref="BT1" si="68">BS1+1</f>
        <v>72</v>
      </c>
      <c r="BU1" s="512">
        <f t="shared" ref="BU1" si="69">BT1+1</f>
        <v>73</v>
      </c>
      <c r="BV1" s="512">
        <f t="shared" ref="BV1" si="70">BU1+1</f>
        <v>74</v>
      </c>
      <c r="BW1" s="512">
        <f t="shared" ref="BW1" si="71">BV1+1</f>
        <v>75</v>
      </c>
      <c r="BX1" s="512">
        <f t="shared" ref="BX1" si="72">BW1+1</f>
        <v>76</v>
      </c>
      <c r="BY1" s="512">
        <f t="shared" ref="BY1" si="73">BX1+1</f>
        <v>77</v>
      </c>
      <c r="BZ1" s="512">
        <f t="shared" ref="BZ1" si="74">BY1+1</f>
        <v>78</v>
      </c>
      <c r="CA1" s="512">
        <f t="shared" ref="CA1:DM1" si="75">BZ1+1</f>
        <v>79</v>
      </c>
      <c r="CB1" s="512">
        <f t="shared" si="75"/>
        <v>80</v>
      </c>
      <c r="CC1" s="512">
        <f t="shared" si="75"/>
        <v>81</v>
      </c>
      <c r="CD1" s="512">
        <f t="shared" si="75"/>
        <v>82</v>
      </c>
      <c r="CE1" s="512">
        <f t="shared" si="75"/>
        <v>83</v>
      </c>
      <c r="CF1" s="513">
        <f t="shared" si="75"/>
        <v>84</v>
      </c>
      <c r="CG1" s="511">
        <f t="shared" si="75"/>
        <v>85</v>
      </c>
      <c r="CH1" s="512">
        <f t="shared" si="75"/>
        <v>86</v>
      </c>
      <c r="CI1" s="512">
        <f t="shared" si="75"/>
        <v>87</v>
      </c>
      <c r="CJ1" s="512">
        <f t="shared" si="75"/>
        <v>88</v>
      </c>
      <c r="CK1" s="512">
        <f t="shared" si="75"/>
        <v>89</v>
      </c>
      <c r="CL1" s="512">
        <f t="shared" si="75"/>
        <v>90</v>
      </c>
      <c r="CM1" s="512">
        <f t="shared" si="75"/>
        <v>91</v>
      </c>
      <c r="CN1" s="512">
        <f t="shared" si="75"/>
        <v>92</v>
      </c>
      <c r="CO1" s="512">
        <f t="shared" si="75"/>
        <v>93</v>
      </c>
      <c r="CP1" s="512">
        <f t="shared" si="75"/>
        <v>94</v>
      </c>
      <c r="CQ1" s="512">
        <f t="shared" si="75"/>
        <v>95</v>
      </c>
      <c r="CR1" s="512">
        <f t="shared" si="75"/>
        <v>96</v>
      </c>
      <c r="CS1" s="512">
        <f t="shared" si="75"/>
        <v>97</v>
      </c>
      <c r="CT1" s="512">
        <f t="shared" si="75"/>
        <v>98</v>
      </c>
      <c r="CU1" s="512">
        <f t="shared" si="75"/>
        <v>99</v>
      </c>
      <c r="CV1" s="512">
        <f t="shared" si="75"/>
        <v>100</v>
      </c>
      <c r="CW1" s="512">
        <f t="shared" si="75"/>
        <v>101</v>
      </c>
      <c r="CX1" s="513">
        <f t="shared" si="75"/>
        <v>102</v>
      </c>
      <c r="CY1" s="511">
        <f t="shared" si="75"/>
        <v>103</v>
      </c>
      <c r="CZ1" s="512">
        <f t="shared" si="75"/>
        <v>104</v>
      </c>
      <c r="DA1" s="512">
        <f t="shared" si="75"/>
        <v>105</v>
      </c>
      <c r="DB1" s="512">
        <f t="shared" si="75"/>
        <v>106</v>
      </c>
      <c r="DC1" s="512">
        <f t="shared" si="75"/>
        <v>107</v>
      </c>
      <c r="DD1" s="512">
        <f t="shared" si="75"/>
        <v>108</v>
      </c>
      <c r="DE1" s="512">
        <f t="shared" si="75"/>
        <v>109</v>
      </c>
      <c r="DF1" s="512">
        <f t="shared" si="75"/>
        <v>110</v>
      </c>
      <c r="DG1" s="512">
        <f t="shared" si="75"/>
        <v>111</v>
      </c>
      <c r="DH1" s="513">
        <f t="shared" si="75"/>
        <v>112</v>
      </c>
      <c r="DI1" s="783">
        <f t="shared" si="75"/>
        <v>113</v>
      </c>
      <c r="DJ1" s="512">
        <f t="shared" si="75"/>
        <v>114</v>
      </c>
      <c r="DK1" s="512">
        <f t="shared" si="75"/>
        <v>115</v>
      </c>
      <c r="DL1" s="512">
        <f t="shared" si="75"/>
        <v>116</v>
      </c>
      <c r="DM1" s="512">
        <f t="shared" si="75"/>
        <v>117</v>
      </c>
      <c r="EP1" s="1294" t="s">
        <v>1075</v>
      </c>
      <c r="EQ1" s="1295"/>
      <c r="ER1" s="1295"/>
      <c r="ES1" s="1295"/>
      <c r="ET1" s="1295"/>
      <c r="EU1" s="1057">
        <v>4.95</v>
      </c>
    </row>
    <row r="2" spans="1:152" s="505" customFormat="1" ht="15.75" thickBot="1" x14ac:dyDescent="0.3">
      <c r="A2" s="1279" t="s">
        <v>859</v>
      </c>
      <c r="B2" s="1280"/>
      <c r="C2" s="1280"/>
      <c r="D2" s="1299"/>
      <c r="E2" s="1306" t="s">
        <v>952</v>
      </c>
      <c r="F2" s="1306"/>
      <c r="G2" s="1307"/>
      <c r="H2" s="1307"/>
      <c r="I2" s="1307"/>
      <c r="J2" s="1307"/>
      <c r="K2" s="1307"/>
      <c r="L2" s="1307"/>
      <c r="M2" s="1307"/>
      <c r="N2" s="1308"/>
      <c r="O2" s="1312" t="s">
        <v>773</v>
      </c>
      <c r="P2" s="1313"/>
      <c r="Q2" s="1313"/>
      <c r="R2" s="1313"/>
      <c r="S2" s="1313"/>
      <c r="T2" s="1313"/>
      <c r="U2" s="1313"/>
      <c r="V2" s="1313"/>
      <c r="W2" s="1313"/>
      <c r="X2" s="1313"/>
      <c r="Y2" s="1313"/>
      <c r="Z2" s="1313"/>
      <c r="AA2" s="1313"/>
      <c r="AB2" s="1313"/>
      <c r="AC2" s="1313"/>
      <c r="AD2" s="1313"/>
      <c r="AE2" s="1313"/>
      <c r="AF2" s="1313"/>
      <c r="AG2" s="1313"/>
      <c r="AH2" s="1313"/>
      <c r="AI2" s="1313"/>
      <c r="AJ2" s="1313"/>
      <c r="AK2" s="1313"/>
      <c r="AL2" s="1303" t="s">
        <v>774</v>
      </c>
      <c r="AM2" s="1304"/>
      <c r="AN2" s="1304"/>
      <c r="AO2" s="1305"/>
      <c r="AP2" s="1317" t="s">
        <v>950</v>
      </c>
      <c r="AQ2" s="1318"/>
      <c r="AR2" s="1318"/>
      <c r="AS2" s="1318"/>
      <c r="AT2" s="1318"/>
      <c r="AU2" s="1318"/>
      <c r="AV2" s="1318"/>
      <c r="AW2" s="1319"/>
      <c r="AX2" s="1320" t="s">
        <v>949</v>
      </c>
      <c r="AY2" s="1321"/>
      <c r="AZ2" s="1321"/>
      <c r="BA2" s="1321"/>
      <c r="BB2" s="1321"/>
      <c r="BC2" s="1321"/>
      <c r="BD2" s="1321"/>
      <c r="BE2" s="1322"/>
      <c r="BF2" s="1309" t="s">
        <v>775</v>
      </c>
      <c r="BG2" s="1310"/>
      <c r="BH2" s="1310"/>
      <c r="BI2" s="1310"/>
      <c r="BJ2" s="1310"/>
      <c r="BK2" s="1310"/>
      <c r="BL2" s="1310"/>
      <c r="BM2" s="1311"/>
      <c r="BN2" s="1314" t="s">
        <v>776</v>
      </c>
      <c r="BO2" s="1315"/>
      <c r="BP2" s="1315"/>
      <c r="BQ2" s="1315"/>
      <c r="BR2" s="1315"/>
      <c r="BS2" s="1315"/>
      <c r="BT2" s="1315"/>
      <c r="BU2" s="1315"/>
      <c r="BV2" s="1315"/>
      <c r="BW2" s="1315"/>
      <c r="BX2" s="1315"/>
      <c r="BY2" s="1315"/>
      <c r="BZ2" s="1315"/>
      <c r="CA2" s="1315"/>
      <c r="CB2" s="1315"/>
      <c r="CC2" s="1315"/>
      <c r="CD2" s="1315"/>
      <c r="CE2" s="1315"/>
      <c r="CF2" s="1316"/>
      <c r="CG2" s="1300" t="s">
        <v>777</v>
      </c>
      <c r="CH2" s="1301"/>
      <c r="CI2" s="1301"/>
      <c r="CJ2" s="1301"/>
      <c r="CK2" s="1301"/>
      <c r="CL2" s="1301"/>
      <c r="CM2" s="1301"/>
      <c r="CN2" s="1301"/>
      <c r="CO2" s="1301"/>
      <c r="CP2" s="1301"/>
      <c r="CQ2" s="1301"/>
      <c r="CR2" s="1301"/>
      <c r="CS2" s="1301"/>
      <c r="CT2" s="1301"/>
      <c r="CU2" s="1301"/>
      <c r="CV2" s="1301"/>
      <c r="CW2" s="1301"/>
      <c r="CX2" s="1302"/>
      <c r="CY2" s="811" t="s">
        <v>283</v>
      </c>
      <c r="CZ2" s="509" t="s">
        <v>284</v>
      </c>
      <c r="DA2" s="509" t="s">
        <v>285</v>
      </c>
      <c r="DB2" s="509" t="s">
        <v>286</v>
      </c>
      <c r="DC2" s="509" t="s">
        <v>288</v>
      </c>
      <c r="DD2" s="509" t="s">
        <v>287</v>
      </c>
      <c r="DE2" s="509" t="s">
        <v>289</v>
      </c>
      <c r="DF2" s="509" t="s">
        <v>290</v>
      </c>
      <c r="DG2" s="509" t="s">
        <v>291</v>
      </c>
      <c r="DH2" s="812"/>
      <c r="DI2" s="809"/>
      <c r="DJ2" s="510"/>
      <c r="DK2" s="510"/>
      <c r="DL2" s="510"/>
      <c r="DM2" s="510"/>
      <c r="DZ2" s="1291" t="s">
        <v>1074</v>
      </c>
      <c r="EA2" s="1292"/>
      <c r="EB2" s="1292"/>
      <c r="EC2" s="1292"/>
      <c r="ED2" s="1292"/>
      <c r="EE2" s="1292"/>
      <c r="EF2" s="1292"/>
      <c r="EG2" s="1293"/>
      <c r="EH2" s="1059"/>
      <c r="EI2" s="1059"/>
      <c r="EJ2" s="1059" t="s">
        <v>1077</v>
      </c>
      <c r="EK2" s="1059"/>
      <c r="EL2" s="1059"/>
      <c r="EM2" s="1059"/>
      <c r="EN2" s="1059"/>
      <c r="EO2" s="1059"/>
      <c r="EP2" s="1296" t="s">
        <v>1076</v>
      </c>
      <c r="EQ2" s="1297"/>
      <c r="ER2" s="1297"/>
      <c r="ES2" s="1297"/>
      <c r="ET2" s="1298"/>
      <c r="EU2" s="1052">
        <v>2</v>
      </c>
    </row>
    <row r="3" spans="1:152" s="881" customFormat="1" ht="60.75" thickBot="1" x14ac:dyDescent="0.3">
      <c r="A3" s="432" t="s">
        <v>868</v>
      </c>
      <c r="B3" s="927" t="s">
        <v>94</v>
      </c>
      <c r="C3" s="928" t="s">
        <v>765</v>
      </c>
      <c r="D3" s="929" t="s">
        <v>126</v>
      </c>
      <c r="E3" s="830" t="s">
        <v>782</v>
      </c>
      <c r="F3" s="863" t="s">
        <v>954</v>
      </c>
      <c r="G3" s="343" t="s">
        <v>783</v>
      </c>
      <c r="H3" s="343" t="s">
        <v>784</v>
      </c>
      <c r="I3" s="343" t="s">
        <v>785</v>
      </c>
      <c r="J3" s="343" t="s">
        <v>786</v>
      </c>
      <c r="K3" s="343" t="s">
        <v>787</v>
      </c>
      <c r="L3" s="343" t="s">
        <v>788</v>
      </c>
      <c r="M3" s="343" t="s">
        <v>789</v>
      </c>
      <c r="N3" s="708" t="s">
        <v>790</v>
      </c>
      <c r="O3" s="345" t="s">
        <v>246</v>
      </c>
      <c r="P3" s="46" t="s">
        <v>858</v>
      </c>
      <c r="Q3" s="610" t="s">
        <v>244</v>
      </c>
      <c r="R3" s="46" t="s">
        <v>951</v>
      </c>
      <c r="S3" s="46" t="s">
        <v>953</v>
      </c>
      <c r="T3" s="867" t="s">
        <v>826</v>
      </c>
      <c r="U3" s="868" t="s">
        <v>827</v>
      </c>
      <c r="V3" s="868" t="s">
        <v>828</v>
      </c>
      <c r="W3" s="868" t="s">
        <v>829</v>
      </c>
      <c r="X3" s="868" t="s">
        <v>830</v>
      </c>
      <c r="Y3" s="868" t="s">
        <v>831</v>
      </c>
      <c r="Z3" s="868" t="s">
        <v>832</v>
      </c>
      <c r="AA3" s="868" t="s">
        <v>833</v>
      </c>
      <c r="AB3" s="868" t="s">
        <v>834</v>
      </c>
      <c r="AC3" s="868" t="s">
        <v>835</v>
      </c>
      <c r="AD3" s="868" t="s">
        <v>836</v>
      </c>
      <c r="AE3" s="868" t="s">
        <v>837</v>
      </c>
      <c r="AF3" s="868" t="s">
        <v>838</v>
      </c>
      <c r="AG3" s="868" t="s">
        <v>839</v>
      </c>
      <c r="AH3" s="868" t="s">
        <v>840</v>
      </c>
      <c r="AI3" s="868" t="s">
        <v>841</v>
      </c>
      <c r="AJ3" s="868" t="s">
        <v>842</v>
      </c>
      <c r="AK3" s="869" t="s">
        <v>843</v>
      </c>
      <c r="AL3" s="870" t="s">
        <v>778</v>
      </c>
      <c r="AM3" s="871" t="s">
        <v>779</v>
      </c>
      <c r="AN3" s="343" t="s">
        <v>780</v>
      </c>
      <c r="AO3" s="825" t="s">
        <v>781</v>
      </c>
      <c r="AP3" s="686" t="s">
        <v>791</v>
      </c>
      <c r="AQ3" s="431" t="s">
        <v>792</v>
      </c>
      <c r="AR3" s="431" t="s">
        <v>793</v>
      </c>
      <c r="AS3" s="431" t="s">
        <v>441</v>
      </c>
      <c r="AT3" s="431" t="s">
        <v>794</v>
      </c>
      <c r="AU3" s="431" t="s">
        <v>795</v>
      </c>
      <c r="AV3" s="431" t="s">
        <v>796</v>
      </c>
      <c r="AW3" s="347" t="s">
        <v>797</v>
      </c>
      <c r="AX3" s="872" t="s">
        <v>791</v>
      </c>
      <c r="AY3" s="873" t="s">
        <v>792</v>
      </c>
      <c r="AZ3" s="873" t="s">
        <v>793</v>
      </c>
      <c r="BA3" s="873" t="s">
        <v>441</v>
      </c>
      <c r="BB3" s="873" t="s">
        <v>794</v>
      </c>
      <c r="BC3" s="873" t="s">
        <v>795</v>
      </c>
      <c r="BD3" s="873" t="s">
        <v>796</v>
      </c>
      <c r="BE3" s="874" t="s">
        <v>797</v>
      </c>
      <c r="BF3" s="686" t="s">
        <v>791</v>
      </c>
      <c r="BG3" s="431" t="s">
        <v>792</v>
      </c>
      <c r="BH3" s="431" t="s">
        <v>793</v>
      </c>
      <c r="BI3" s="431" t="s">
        <v>441</v>
      </c>
      <c r="BJ3" s="431" t="s">
        <v>794</v>
      </c>
      <c r="BK3" s="431" t="s">
        <v>795</v>
      </c>
      <c r="BL3" s="431" t="s">
        <v>796</v>
      </c>
      <c r="BM3" s="347" t="s">
        <v>797</v>
      </c>
      <c r="BN3" s="875" t="s">
        <v>798</v>
      </c>
      <c r="BO3" s="876" t="s">
        <v>799</v>
      </c>
      <c r="BP3" s="876" t="s">
        <v>800</v>
      </c>
      <c r="BQ3" s="876" t="s">
        <v>801</v>
      </c>
      <c r="BR3" s="876" t="s">
        <v>802</v>
      </c>
      <c r="BS3" s="876" t="s">
        <v>803</v>
      </c>
      <c r="BT3" s="876" t="s">
        <v>804</v>
      </c>
      <c r="BU3" s="876" t="s">
        <v>805</v>
      </c>
      <c r="BV3" s="876" t="s">
        <v>806</v>
      </c>
      <c r="BW3" s="876" t="s">
        <v>807</v>
      </c>
      <c r="BX3" s="876" t="s">
        <v>808</v>
      </c>
      <c r="BY3" s="876" t="s">
        <v>809</v>
      </c>
      <c r="BZ3" s="876" t="s">
        <v>810</v>
      </c>
      <c r="CA3" s="876" t="s">
        <v>811</v>
      </c>
      <c r="CB3" s="876" t="s">
        <v>812</v>
      </c>
      <c r="CC3" s="876" t="s">
        <v>813</v>
      </c>
      <c r="CD3" s="876" t="s">
        <v>814</v>
      </c>
      <c r="CE3" s="876" t="s">
        <v>815</v>
      </c>
      <c r="CF3" s="877" t="s">
        <v>816</v>
      </c>
      <c r="CG3" s="875" t="s">
        <v>798</v>
      </c>
      <c r="CH3" s="876" t="s">
        <v>799</v>
      </c>
      <c r="CI3" s="876" t="s">
        <v>800</v>
      </c>
      <c r="CJ3" s="876" t="s">
        <v>801</v>
      </c>
      <c r="CK3" s="876" t="s">
        <v>802</v>
      </c>
      <c r="CL3" s="876" t="s">
        <v>803</v>
      </c>
      <c r="CM3" s="876" t="s">
        <v>804</v>
      </c>
      <c r="CN3" s="876" t="s">
        <v>805</v>
      </c>
      <c r="CO3" s="876" t="s">
        <v>806</v>
      </c>
      <c r="CP3" s="876" t="s">
        <v>807</v>
      </c>
      <c r="CQ3" s="876" t="s">
        <v>808</v>
      </c>
      <c r="CR3" s="876" t="s">
        <v>809</v>
      </c>
      <c r="CS3" s="876" t="s">
        <v>810</v>
      </c>
      <c r="CT3" s="876" t="s">
        <v>811</v>
      </c>
      <c r="CU3" s="876" t="s">
        <v>812</v>
      </c>
      <c r="CV3" s="876" t="s">
        <v>813</v>
      </c>
      <c r="CW3" s="876" t="s">
        <v>814</v>
      </c>
      <c r="CX3" s="877" t="s">
        <v>815</v>
      </c>
      <c r="CY3" s="875" t="s">
        <v>817</v>
      </c>
      <c r="CZ3" s="876" t="s">
        <v>818</v>
      </c>
      <c r="DA3" s="876" t="s">
        <v>819</v>
      </c>
      <c r="DB3" s="876" t="s">
        <v>820</v>
      </c>
      <c r="DC3" s="876" t="s">
        <v>821</v>
      </c>
      <c r="DD3" s="876" t="s">
        <v>822</v>
      </c>
      <c r="DE3" s="876" t="s">
        <v>823</v>
      </c>
      <c r="DF3" s="876" t="s">
        <v>824</v>
      </c>
      <c r="DG3" s="876" t="s">
        <v>825</v>
      </c>
      <c r="DH3" s="878"/>
      <c r="DI3" s="879" t="s">
        <v>844</v>
      </c>
      <c r="DJ3" s="46" t="s">
        <v>845</v>
      </c>
      <c r="DK3" s="46" t="s">
        <v>846</v>
      </c>
      <c r="DL3" s="610" t="s">
        <v>847</v>
      </c>
      <c r="DM3" s="880" t="s">
        <v>848</v>
      </c>
      <c r="DT3" s="882" t="s">
        <v>849</v>
      </c>
      <c r="DU3" s="882" t="s">
        <v>850</v>
      </c>
      <c r="DV3" s="881" t="s">
        <v>851</v>
      </c>
      <c r="DW3" s="881" t="s">
        <v>852</v>
      </c>
      <c r="DX3" s="881" t="s">
        <v>853</v>
      </c>
      <c r="DZ3" s="686" t="s">
        <v>791</v>
      </c>
      <c r="EA3" s="43" t="s">
        <v>792</v>
      </c>
      <c r="EB3" s="43" t="s">
        <v>793</v>
      </c>
      <c r="EC3" s="43" t="s">
        <v>441</v>
      </c>
      <c r="ED3" s="43" t="s">
        <v>794</v>
      </c>
      <c r="EE3" s="43" t="s">
        <v>795</v>
      </c>
      <c r="EF3" s="43" t="s">
        <v>796</v>
      </c>
      <c r="EG3" s="347" t="s">
        <v>797</v>
      </c>
      <c r="EH3" s="937" t="str">
        <f>EG3</f>
        <v>ML8 Tower Section</v>
      </c>
      <c r="EI3" s="937" t="str">
        <f>EF3</f>
        <v>ML7 Tower Section</v>
      </c>
      <c r="EJ3" s="937" t="str">
        <f>EE3</f>
        <v>ML6 Tower Section</v>
      </c>
      <c r="EK3" s="937" t="str">
        <f>ED3</f>
        <v>ML5 Tower section</v>
      </c>
      <c r="EL3" s="937" t="str">
        <f>EC3</f>
        <v>ML4 Tower Section</v>
      </c>
      <c r="EM3" s="937" t="str">
        <f>EB3</f>
        <v>ML3 Tower Section</v>
      </c>
      <c r="EN3" s="937" t="str">
        <f>EA3</f>
        <v>ML2 Tower Section</v>
      </c>
      <c r="EO3" s="937" t="str">
        <f>DZ3</f>
        <v>ML1 Tower Section</v>
      </c>
      <c r="EP3" s="1064" t="s">
        <v>1081</v>
      </c>
      <c r="EQ3" s="1056" t="s">
        <v>1078</v>
      </c>
      <c r="ER3" s="1060" t="s">
        <v>1080</v>
      </c>
      <c r="ES3" s="1060" t="s">
        <v>1079</v>
      </c>
    </row>
    <row r="4" spans="1:152" s="504" customFormat="1" ht="15.75" thickTop="1" x14ac:dyDescent="0.25">
      <c r="A4" s="584" t="s">
        <v>228</v>
      </c>
      <c r="B4" s="930" t="str">
        <f>VLOOKUP($A4,'TIS Site Config'!$A$3:$AQ$51,2,FALSE)</f>
        <v>D01</v>
      </c>
      <c r="C4" s="930" t="str">
        <f>IF(VLOOKUP($A4,'TIS Site Config'!$A$3:$AQ$51,3,FALSE)&lt;&gt;"",
              VLOOKUP($A4,'TIS Site Config'!$A$3:$AQ$51,3,FALSE),"")</f>
        <v>A-FY14</v>
      </c>
      <c r="D4" s="931" t="str">
        <f>VLOOKUP($A4,'TIS Site Config'!$A$3:$AQ$51,4,FALSE)</f>
        <v>Harvard Forest</v>
      </c>
      <c r="E4" s="784">
        <f>COUNTIF(G4:N4,"&lt;&gt;"&amp;"")</f>
        <v>6</v>
      </c>
      <c r="F4" s="864"/>
      <c r="G4" s="597">
        <v>0.3</v>
      </c>
      <c r="H4" s="597">
        <v>5</v>
      </c>
      <c r="I4" s="597">
        <v>16</v>
      </c>
      <c r="J4" s="597">
        <v>23</v>
      </c>
      <c r="K4" s="597">
        <v>29</v>
      </c>
      <c r="L4" s="597">
        <v>38</v>
      </c>
      <c r="M4" s="597"/>
      <c r="N4" s="826"/>
      <c r="O4" s="613">
        <v>127</v>
      </c>
      <c r="P4" s="614" t="s">
        <v>138</v>
      </c>
      <c r="Q4" s="770">
        <f>IF(ISNUMBER(O4),
         (O4-4-IF(P4="Guyed",2,0))/11,
          "ERROR")</f>
        <v>11</v>
      </c>
      <c r="R4" s="611">
        <v>1</v>
      </c>
      <c r="S4" s="862"/>
      <c r="T4" s="368" t="s">
        <v>203</v>
      </c>
      <c r="U4" s="368" t="s">
        <v>203</v>
      </c>
      <c r="V4" s="368" t="s">
        <v>203</v>
      </c>
      <c r="W4" s="368" t="s">
        <v>203</v>
      </c>
      <c r="X4" s="368" t="s">
        <v>203</v>
      </c>
      <c r="Y4" s="368" t="s">
        <v>203</v>
      </c>
      <c r="Z4" s="368" t="s">
        <v>203</v>
      </c>
      <c r="AA4" s="368" t="s">
        <v>203</v>
      </c>
      <c r="AB4" s="368" t="s">
        <v>203</v>
      </c>
      <c r="AC4" s="368" t="s">
        <v>203</v>
      </c>
      <c r="AD4" s="368" t="s">
        <v>203</v>
      </c>
      <c r="AE4" s="368"/>
      <c r="AF4" s="368"/>
      <c r="AG4" s="368"/>
      <c r="AH4" s="368"/>
      <c r="AI4" s="368"/>
      <c r="AJ4" s="368"/>
      <c r="AK4" s="602"/>
      <c r="AL4" s="819">
        <v>3</v>
      </c>
      <c r="AM4" s="773">
        <f>(IF(P4="Guyed",
          AL4+22.5,
            IF(P4="Self Supporting",
                   AL4+5,
                   "ERROR")))</f>
        <v>25.5</v>
      </c>
      <c r="AN4" s="597"/>
      <c r="AO4" s="787">
        <f t="shared" ref="AO4:AO31" si="76">((IF(ISNUMBER(AN4),AN4,AM4))-1)/12</f>
        <v>2.0416666666666665</v>
      </c>
      <c r="AP4" s="838">
        <v>0.3</v>
      </c>
      <c r="AQ4" s="839">
        <v>4.0999999999999996</v>
      </c>
      <c r="AR4" s="839">
        <v>15.1</v>
      </c>
      <c r="AS4" s="839">
        <v>22.1</v>
      </c>
      <c r="AT4" s="839">
        <v>28.3</v>
      </c>
      <c r="AU4" s="839">
        <v>38</v>
      </c>
      <c r="AV4" s="839"/>
      <c r="AW4" s="840"/>
      <c r="AX4" s="851">
        <v>0.3</v>
      </c>
      <c r="AY4" s="852">
        <v>5</v>
      </c>
      <c r="AZ4" s="852">
        <v>16</v>
      </c>
      <c r="BA4" s="852">
        <v>23</v>
      </c>
      <c r="BB4" s="852">
        <v>29</v>
      </c>
      <c r="BC4" s="852">
        <v>38</v>
      </c>
      <c r="BD4" s="852">
        <v>0</v>
      </c>
      <c r="BE4" s="853">
        <v>0</v>
      </c>
      <c r="BF4" s="835">
        <f t="shared" ref="BF4:BF33" si="77">IF(AP4=0,0,IF(AP4=MAX($AP4:$AW4),$Q4,IF(ISNUMBER(AP4),(CONVERT(AP4,"m","ft")-$AO4)/11,"")))</f>
        <v>-9.6128608923884501E-2</v>
      </c>
      <c r="BG4" s="836">
        <f t="shared" ref="BG4:BG33" si="78">IF(AQ4=0,0,IF(AQ4=MAX($AP4:$AW4),$Q4,IF(ISNUMBER(AQ4),(CONVERT(AQ4,"m","ft")-$AO4)/11,"")))</f>
        <v>1.0372524457170127</v>
      </c>
      <c r="BH4" s="836">
        <f t="shared" ref="BH4:BH33" si="79">IF(AR4=0,0,IF(AR4=MAX($AP4:$AW4),$Q4,IF(ISNUMBER(AR4),(CONVERT(AR4,"m","ft")-$AO4)/11,"")))</f>
        <v>4.3180923407301357</v>
      </c>
      <c r="BI4" s="836">
        <f t="shared" ref="BI4:BI33" si="80">IF(AS4=0,0,IF(AS4=MAX($AP4:$AW4),$Q4,IF(ISNUMBER(AS4),(CONVERT(AS4,"m","ft")-$AO4)/11,"")))</f>
        <v>6.4058995466475777</v>
      </c>
      <c r="BJ4" s="836">
        <f t="shared" ref="BJ4:BJ33" si="81">IF(AT4=0,0,IF(AT4=MAX($AP4:$AW4),$Q4,IF(ISNUMBER(AT4),(CONVERT(AT4,"m","ft")-$AO4)/11,"")))</f>
        <v>8.2551002147458838</v>
      </c>
      <c r="BK4" s="836">
        <f t="shared" ref="BK4:BK33" si="82">IF(AU4=0,0,IF(AU4=MAX($AP4:$AW4),$Q4,IF(ISNUMBER(AU4),(CONVERT(AU4,"m","ft")-$AO4)/11,"")))</f>
        <v>11</v>
      </c>
      <c r="BL4" s="836">
        <f t="shared" ref="BL4:BL33" si="83">IF(AV4=0,0,IF(AV4=MAX($AP4:$AW4),$Q4,IF(ISNUMBER(AV4),(CONVERT(AV4,"m","ft")-$AO4)/11,"")))</f>
        <v>0</v>
      </c>
      <c r="BM4" s="837">
        <f t="shared" ref="BM4:BM33" si="84">IF(AW4=0,0,IF(AW4=MAX($AP4:$AW4),$Q4,IF(ISNUMBER(AW4),(CONVERT(AW4,"m","ft")-$AO4)/11,"")))</f>
        <v>0</v>
      </c>
      <c r="BN4" s="800">
        <f t="shared" ref="BN4" si="85">COUNTIF(BF4:BM4,"&lt;1")-COUNTIF(BF4:BM4,"=0")</f>
        <v>1</v>
      </c>
      <c r="BO4" s="368">
        <f t="shared" ref="BO4:BX16" si="86">IF(VALUE(RIGHT(BO$3,2))&gt;MAX($BF4:$BM4)+1,"",SUMPRODUCT(($BF4:$BM4&gt;=VALUE((RIGHT(BO$3,2)-1)))*($BF4:$BM4&lt;VALUE((RIGHT(BO$3,2))))))</f>
        <v>1</v>
      </c>
      <c r="BP4" s="368">
        <f t="shared" si="86"/>
        <v>0</v>
      </c>
      <c r="BQ4" s="368">
        <f t="shared" si="86"/>
        <v>0</v>
      </c>
      <c r="BR4" s="368">
        <f t="shared" si="86"/>
        <v>1</v>
      </c>
      <c r="BS4" s="368">
        <f t="shared" si="86"/>
        <v>0</v>
      </c>
      <c r="BT4" s="368">
        <f t="shared" si="86"/>
        <v>1</v>
      </c>
      <c r="BU4" s="368">
        <f t="shared" si="86"/>
        <v>0</v>
      </c>
      <c r="BV4" s="368">
        <f t="shared" si="86"/>
        <v>1</v>
      </c>
      <c r="BW4" s="368">
        <f t="shared" si="86"/>
        <v>0</v>
      </c>
      <c r="BX4" s="368">
        <f t="shared" si="86"/>
        <v>0</v>
      </c>
      <c r="BY4" s="368">
        <f t="shared" ref="BY4:CF16" si="87">IF(VALUE(RIGHT(BY$3,2))&gt;MAX($BF4:$BM4)+1,"",SUMPRODUCT(($BF4:$BM4&gt;=VALUE((RIGHT(BY$3,2)-1)))*($BF4:$BM4&lt;VALUE((RIGHT(BY$3,2))))))</f>
        <v>1</v>
      </c>
      <c r="BZ4" s="368" t="str">
        <f t="shared" si="87"/>
        <v/>
      </c>
      <c r="CA4" s="368" t="str">
        <f t="shared" si="87"/>
        <v/>
      </c>
      <c r="CB4" s="368" t="str">
        <f t="shared" si="87"/>
        <v/>
      </c>
      <c r="CC4" s="368" t="str">
        <f t="shared" si="87"/>
        <v/>
      </c>
      <c r="CD4" s="368" t="str">
        <f t="shared" si="87"/>
        <v/>
      </c>
      <c r="CE4" s="368" t="str">
        <f t="shared" si="87"/>
        <v/>
      </c>
      <c r="CF4" s="797" t="str">
        <f t="shared" si="87"/>
        <v/>
      </c>
      <c r="CG4" s="803" t="str">
        <f t="shared" ref="CG4:CG33" si="88">IF(BN4&gt;2,$DU$3,IF(BO4&gt;0,$DU$3,$DT$3))</f>
        <v>B, ML above</v>
      </c>
      <c r="CH4" s="591" t="str">
        <f t="shared" ref="CH4:CH33" si="89">IF(BP4="","",IF(BQ4="",$DX$3,IF(BO4&gt;1,$DW$3,IF(BP4&gt;0,$DW$3,$DV$3))))</f>
        <v>p-thru</v>
      </c>
      <c r="CI4" s="591" t="str">
        <f t="shared" ref="CI4:CI33" si="90">IF(BQ4="","",IF(BR4="",$DX$3,IF(BP4&gt;1,$DW$3,IF(BQ4&gt;0,$DW$3,$DV$3))))</f>
        <v>p-thru</v>
      </c>
      <c r="CJ4" s="591" t="str">
        <f t="shared" ref="CJ4:CJ33" si="91">IF(BR4="","",IF(BS4="",$DX$3,IF(BQ4&gt;1,$DW$3,IF(BR4&gt;0,$DW$3,$DV$3))))</f>
        <v>ML</v>
      </c>
      <c r="CK4" s="591" t="str">
        <f t="shared" ref="CK4:CK33" si="92">IF(BS4="","",IF(BT4="",$DX$3,IF(BR4&gt;1,$DW$3,IF(BS4&gt;0,$DW$3,$DV$3))))</f>
        <v>p-thru</v>
      </c>
      <c r="CL4" s="591" t="str">
        <f t="shared" ref="CL4:CL33" si="93">IF(BT4="","",IF(BU4="",$DX$3,IF(BS4&gt;1,$DW$3,IF(BT4&gt;0,$DW$3,$DV$3))))</f>
        <v>ML</v>
      </c>
      <c r="CM4" s="591" t="str">
        <f t="shared" ref="CM4:CM33" si="94">IF(BU4="","",IF(BV4="",$DX$3,IF(BT4&gt;1,$DW$3,IF(BU4&gt;0,$DW$3,$DV$3))))</f>
        <v>p-thru</v>
      </c>
      <c r="CN4" s="591" t="str">
        <f t="shared" ref="CN4:CN33" si="95">IF(BV4="","",IF(BW4="",$DX$3,IF(BU4&gt;1,$DW$3,IF(BV4&gt;0,$DW$3,$DV$3))))</f>
        <v>ML</v>
      </c>
      <c r="CO4" s="591" t="str">
        <f t="shared" ref="CO4:CO33" si="96">IF(BW4="","",IF(BX4="",$DX$3,IF(BV4&gt;1,$DW$3,IF(BW4&gt;0,$DW$3,$DV$3))))</f>
        <v>p-thru</v>
      </c>
      <c r="CP4" s="591" t="str">
        <f t="shared" ref="CP4:CP33" si="97">IF(BX4="","",IF(BY4="",$DX$3,IF(BW4&gt;1,$DW$3,IF(BX4&gt;0,$DW$3,$DV$3))))</f>
        <v>p-thru</v>
      </c>
      <c r="CQ4" s="591" t="str">
        <f t="shared" ref="CQ4:CQ33" si="98">IF(BY4="","",IF(BZ4="",$DX$3,IF(BX4&gt;1,$DW$3,IF(BY4&gt;0,$DW$3,$DV$3))))</f>
        <v>TOP</v>
      </c>
      <c r="CR4" s="591" t="str">
        <f t="shared" ref="CR4:CR33" si="99">IF(BZ4="","",IF(CA4="",$DX$3,IF(BY4&gt;1,$DW$3,IF(BZ4&gt;0,$DW$3,$DV$3))))</f>
        <v/>
      </c>
      <c r="CS4" s="591" t="str">
        <f t="shared" ref="CS4:CS33" si="100">IF(CA4="","",IF(CB4="",$DX$3,IF(BZ4&gt;1,$DW$3,IF(CA4&gt;0,$DW$3,$DV$3))))</f>
        <v/>
      </c>
      <c r="CT4" s="591" t="str">
        <f t="shared" ref="CT4:CT33" si="101">IF(CB4="","",IF(CC4="",$DX$3,IF(CA4&gt;1,$DW$3,IF(CB4&gt;0,$DW$3,$DV$3))))</f>
        <v/>
      </c>
      <c r="CU4" s="591" t="str">
        <f t="shared" ref="CU4:CU33" si="102">IF(CC4="","",IF(CD4="",$DX$3,IF(CB4&gt;1,$DW$3,IF(CC4&gt;0,$DW$3,$DV$3))))</f>
        <v/>
      </c>
      <c r="CV4" s="591" t="str">
        <f t="shared" ref="CV4:CV33" si="103">IF(CD4="","",IF(CE4="",$DX$3,IF(CC4&gt;1,$DW$3,IF(CD4&gt;0,$DW$3,$DV$3))))</f>
        <v/>
      </c>
      <c r="CW4" s="591" t="str">
        <f t="shared" ref="CW4:CW33" si="104">IF(CE4="","",IF(CF4="",$DX$3,IF(CD4&gt;1,$DW$3,IF(CE4&gt;0,$DW$3,$DV$3))))</f>
        <v/>
      </c>
      <c r="CX4" s="804" t="str">
        <f t="shared" ref="CX4:CX33" si="105">IF(CF4="","",IF(CG4="",$DX$3,IF(CE4&gt;1,$DX$3,IF(CF4&gt;0,$DX$3,$DV$3))))</f>
        <v/>
      </c>
      <c r="CY4" s="813">
        <f>IF(VLOOKUP(A4,'TIS Site Config'!$A$4:$AQ$51,6,FALSE)="Non-heated",COUNTIF($CG4:$CX4,$DT$3),0)</f>
        <v>0</v>
      </c>
      <c r="CZ4" s="592">
        <f>IF(OR(VLOOKUP(A4,'TIS Site Config'!$A$4:$AQ$51,6,FALSE)="Heated",VLOOKUP(A4,'TIS Site Config'!$A$4:$AQ$51,6,FALSE)="Extreme Heated"),COUNTIF($CG4:$CX4,$DT$3),0)</f>
        <v>0</v>
      </c>
      <c r="DA4" s="592">
        <f>IF(VLOOKUP(A4,'TIS Site Config'!$A$4:$AQ$51,6,FALSE)="Non-heated",COUNTIF($CG4:$CX4,$DU$3),0)</f>
        <v>0</v>
      </c>
      <c r="DB4" s="592">
        <f>IF(OR(VLOOKUP(A4,'TIS Site Config'!$A$4:$AQ$51,6,FALSE)="Heated",VLOOKUP(A4,'TIS Site Config'!$A$4:$AQ$51,6,FALSE)="Extreme heated"),COUNTIF($CG4:$CX4,$DU$3),0)</f>
        <v>1</v>
      </c>
      <c r="DC4" s="592">
        <f>IF(VLOOKUP(A4,'TIS Site Config'!$A$4:$AQ$51,6,FALSE)="Non-heated",COUNTIF($CG4:$CX4,$DW$3),0)</f>
        <v>0</v>
      </c>
      <c r="DD4" s="592">
        <f>IF(OR(VLOOKUP(A4,'TIS Site Config'!$A$4:$AQ$51,6,FALSE)="Heated",VLOOKUP(A4,'TIS Site Config'!$A$4:$AQ$51,6,FALSE)="Extreme heated"),COUNTIF($CG4:$CX4,$DW$3),0)</f>
        <v>3</v>
      </c>
      <c r="DE4" s="592">
        <f>COUNTIF($CG4:$CX4,$DV$3)</f>
        <v>6</v>
      </c>
      <c r="DF4" s="592">
        <f>IF(VLOOKUP(A4,'TIS Site Config'!$A$4:$AQ$51,6,FALSE)="Non-heated",COUNTIF($CG4:$CX4,$DX$3),0)</f>
        <v>0</v>
      </c>
      <c r="DG4" s="592">
        <f>IF(OR(VLOOKUP(A4,'TIS Site Config'!$A$4:$AQ$51,6,FALSE)="Heated",VLOOKUP(A4,'TIS Site Config'!$A$4:$AQ$51,6,FALSE)="Extreme heated"),COUNTIF($CG4:$CX4,$DX$3),0)</f>
        <v>1</v>
      </c>
      <c r="DH4" s="814"/>
      <c r="DI4" s="810">
        <f>IF(AND(OR(T4="Heavy",T4="Extreme"),OR(U4="Heavy",U4="Extreme")),BN4,IF(AND(OR(T4="Heavy",T4="Extreme"),U4="Standard"),1,0))+
IF(AND(OR(U4="Heavy",U4="Extreme"),OR(V4="Heavy",V4="Extreme")),BO4,0)+
IF(AND(OR(V4="Heavy",V4="Extreme"),OR(W4="Heavy",W4="Extreme")),BP4,0)+
IF(AND(OR(W4="Heavy",W4="Extreme"),OR(X4="Heavy",X4="Extreme")),BQ4,0)+
IF(AND(OR(X4="Heavy",X4="Extreme"),OR(Y4="Heavy",Y4="Extreme")),BR4,0)+
IF(AND(OR(Y4="Heavy",Y4="Extreme"),OR(Z4="Heavy",Z4="Extreme")),BS4,0)+
IF(AND(OR(Z4="Heavy",Z4="Extreme"),OR(AA4="Heavy",AA4="Extreme")),BT4,0)+
IF(AND(OR(AA4="Heavy",AA4="Extreme"),OR(AB4="Heavy",AB4="Extreme")),BU4,0)+
IF(AND(OR(AB4="Heavy",AB4="Extreme"),OR(AC4="Heavy",AC4="Extreme")),BV4,0)+
IF(AND(OR(AC4="Heavy",AC4="Extreme"),OR(AD4="Heavy",AD4="Extreme")),BW4,0)+
IF(AND(OR(AD4="Heavy",AD4="Extreme"),OR(AE4="Heavy",AE4="Extreme")),BX4,0)+
IF(AND(OR(AE4="Heavy",AE4="Extreme"),OR(AF4="Heavy",AF4="Extreme")),BY4,0)+
IF(AND(OR(AF4="Heavy",AF4="Extreme"),OR(AG4="Heavy",AG4="Extreme")),BZ4,0)+
IF(AND(OR(AG4="Heavy",AG4="Extreme"),OR(H4="Heavy",AH4="Extreme")),CA4,0)+
IF(AND(OR(AH4="Heavy",AH4="Extreme"),OR(AI4="Heavy",AI4="Extreme")),CB4,0)+
IF(AND(OR(AI4="Heavy",AI4="Extreme"),OR(AJ4="Heavy",AJ4="Extreme")),CC4,0)+
IF(AND(OR(AJ4="Heavy",AJ4="Extreme"),OR(AK4="Heavy",AK4="Extreme")),CD4,0)+
IF(OR(AK4="Heavy",AK4="Extreme"),CE4,0)</f>
        <v>0</v>
      </c>
      <c r="DJ4" s="355">
        <f>IF(AND(OR(T4="Heavy",T4="Extreme"),U4="Standard"),BN4-1+BO4,0)+
IF(AND(OR(U4="Heavy",U4="Extreme"),V4="Standard"),BO4+BP4,0)+
IF(AND(OR(V4="Heavy",V4="Extreme"),W4="Standard"),BP4+BQ4,0)+
IF(AND(OR(W4="Heavy",W4="Extreme"),X4="Standard"),BQ4+BR4,0)+
IF(AND(OR(X4="Heavy",X4="Extreme"),Y4="Standard"),BR4+BS4,0)+
IF(AND(OR(Y4="Heavy",Y4="Extreme"),Z4="Standard"),BS4+BT4,0)+
IF(AND(OR(Z4="Heavy",Z4="Extreme"),AA4="Standard"),BT4+BU4,0)+
IF(AND(OR(AA4="Heavy",AA4="Extreme"),AB4="Standard"),BU4+BV4,0)+
IF(AND(OR(AB4="Heavy",AB4="Extreme"),AC4="Standard"),BV4+BW4,0)+
IF(AND(OR(AC4="Heavy",AC4="Extreme"),AD4="Standard"),BW4+BX4,0)+
IF(AND(OR(AD4="Heavy",AD4="Extreme"),AE4="Standard"),BX4+BY4,0)+
IF(AND(OR(AE4="Heavy",AE4="Extreme"),AF4="Standard"),BY4+BZ4,0)+
IF(AND(OR(AF4="Heavy",AF4="Extreme"),AG4="Standard"),BZ4+CA4,0)+
IF(AND(OR(AG4="Heavy",AG4="Extreme"),H4="Standard"),CA4+CB4,0)+
IF(AND(OR(AH4="Heavy",AH4="Extreme"),AI4="Standard"),CB4+CC4,0)+
IF(AND(OR(AI4="Heavy",AI4="Extreme"),AJ4="Standard"),CC4+CD4,0)+
IF(AND(OR(AJ4="Heavy",AJ4="Extreme"),AK4="Standard"),CD4+CE4,0)</f>
        <v>0</v>
      </c>
      <c r="DK4" s="884">
        <f>E4-DI4-DJ4-DL4</f>
        <v>5</v>
      </c>
      <c r="DL4" s="603">
        <v>1</v>
      </c>
      <c r="DM4" s="604">
        <f t="shared" ref="DM4:DM31" si="106">SUM(DI4:DL4)</f>
        <v>6</v>
      </c>
      <c r="DN4" s="593">
        <f>E4-DM4</f>
        <v>0</v>
      </c>
      <c r="DO4" s="593">
        <f t="shared" ref="DO4:DO33" si="107">MAX(ROUNDDOWN(BG4+1,0),1)</f>
        <v>2</v>
      </c>
      <c r="DP4" s="593">
        <f t="shared" ref="DP4:DP33" si="108">MAX(ROUNDDOWN(BH4+1,0),1)</f>
        <v>5</v>
      </c>
      <c r="DR4" s="504">
        <f t="shared" ref="DR4:DR33" si="109">COUNTIF(T4:AK4,"Standard")</f>
        <v>11</v>
      </c>
      <c r="DS4" s="504">
        <f t="shared" ref="DS4:DS33" si="110">COUNTIF(T4:AK4,"Heavy")</f>
        <v>0</v>
      </c>
      <c r="DT4" s="504">
        <f t="shared" ref="DT4:DT33" si="111">COUNTIF(T4:AK4,"Extreme")</f>
        <v>0</v>
      </c>
      <c r="DZ4" s="835">
        <f>IF(BF4&lt;&gt;0, BF4,100)</f>
        <v>-9.6128608923884501E-2</v>
      </c>
      <c r="EA4" s="836">
        <f t="shared" ref="EA4:EA51" si="112">IF(BG4&lt;&gt;0, BG4,100)</f>
        <v>1.0372524457170127</v>
      </c>
      <c r="EB4" s="836">
        <f t="shared" ref="EB4:EB51" si="113">IF(BH4&lt;&gt;0, BH4,100)</f>
        <v>4.3180923407301357</v>
      </c>
      <c r="EC4" s="836">
        <f t="shared" ref="EC4:EC51" si="114">IF(BI4&lt;&gt;0, BI4,100)</f>
        <v>6.4058995466475777</v>
      </c>
      <c r="ED4" s="836">
        <f t="shared" ref="ED4:ED51" si="115">IF(BJ4&lt;&gt;0, BJ4,100)</f>
        <v>8.2551002147458838</v>
      </c>
      <c r="EE4" s="836">
        <f t="shared" ref="EE4:EE51" si="116">IF(BK4&lt;&gt;0, BK4,100)</f>
        <v>11</v>
      </c>
      <c r="EF4" s="836">
        <f t="shared" ref="EF4:EF51" si="117">IF(BL4&lt;&gt;0, BL4,100)</f>
        <v>100</v>
      </c>
      <c r="EG4" s="837">
        <f t="shared" ref="EG4:EG51" si="118">IF(BM4&lt;&gt;0, BM4,100)</f>
        <v>100</v>
      </c>
      <c r="EH4" s="1053">
        <f t="shared" ref="EH4:EH51" si="119">EG4</f>
        <v>100</v>
      </c>
      <c r="EI4" s="1053">
        <f t="shared" ref="EI4:EI51" si="120">EF4</f>
        <v>100</v>
      </c>
      <c r="EJ4" s="1053">
        <f t="shared" ref="EJ4:EJ51" si="121">EE4</f>
        <v>11</v>
      </c>
      <c r="EK4" s="1053">
        <f t="shared" ref="EK4:EK51" si="122">ED4</f>
        <v>8.2551002147458838</v>
      </c>
      <c r="EL4" s="1053">
        <f t="shared" ref="EL4:EL51" si="123">EC4</f>
        <v>6.4058995466475777</v>
      </c>
      <c r="EM4" s="1053">
        <f t="shared" ref="EM4:EM51" si="124">EB4</f>
        <v>4.3180923407301357</v>
      </c>
      <c r="EN4" s="1053">
        <f t="shared" ref="EN4:EN51" si="125">EA4</f>
        <v>1.0372524457170127</v>
      </c>
      <c r="EO4" s="1053">
        <f t="shared" ref="EO4:EO51" si="126">DZ4</f>
        <v>-9.6128608923884501E-2</v>
      </c>
      <c r="EP4" s="1065" t="str">
        <f t="shared" ref="EP4:EP51" si="127">IF($EU$1/0.3048/11-INDEX($DZ4:$EG4,MATCH($EU$1/0.3048/11,$DZ4:$EG4,1))&lt;$EU$2/11,
              LEFT(INDEX($DZ$3:$EG$3,MATCH($EU$1/0.3048/11,$DZ4:$EG4,1)),3),
                         IF(INDEX($EH4:$EO4,MATCH($EU$1/0.3048/11,$EH4:$EO4,-1))-$EU$1/0.3048/11&lt;$EU$2/11,
                                     LEFT(INDEX($EH$3:$EO$3,MATCH($EU$1/0.3048/11,$EH4:$EO4,-1)),3),
                                              CONCATENATE(LEFT(INDEX($DZ$3:$EG$3,MATCH($EU$1/0.3048/11,$DZ4:$EG4,1)),3),".5")))</f>
        <v>ML2.5</v>
      </c>
      <c r="EQ4" s="835"/>
      <c r="ER4" s="837" t="str">
        <f t="shared" ref="ER4:ER51" si="128">IF(EQ4/0.3048/11-INDEX($DZ4:$EG4,MATCH(EQ4/0.3048/11,$DZ4:$EG4,1))&lt;$EU$2/11,
              LEFT(INDEX($DZ$3:$EG$3,MATCH(EQ4/0.3048/11,$DZ4:$EG4,1)),3),
                         IF(INDEX($EH4:$EO4,MATCH(EQ4/0.3048/11,$EH4:$EO4,-1))-EQ4/0.3048/11&lt;$EU$2/11,
                                     LEFT(INDEX($EH$3:$EO$3,MATCH(EQ4/0.3048/11,$EH4:$EO4,-1)),3),
                                              CONCATENATE(LEFT(INDEX($DZ$3:$EG$3,MATCH(EQ4/0.3048/11,$DZ4:$EG4,1)),3),".5")))</f>
        <v>ML1</v>
      </c>
      <c r="ES4" s="837" t="str">
        <f>CONCATENATE("ML",TEXT(E4-1,0),".5")</f>
        <v>ML5.5</v>
      </c>
    </row>
    <row r="5" spans="1:152" s="504" customFormat="1" ht="15.75" thickBot="1" x14ac:dyDescent="0.3">
      <c r="A5" s="377" t="s">
        <v>206</v>
      </c>
      <c r="B5" s="761" t="str">
        <f>VLOOKUP($A5,'TIS Site Config'!$A$3:$AQ$51,2,FALSE)</f>
        <v>D01</v>
      </c>
      <c r="C5" s="751" t="str">
        <f>IF(VLOOKUP($A5,'TIS Site Config'!$A$3:$AQ$51,3,FALSE)&lt;&gt;"",
              VLOOKUP($A5,'TIS Site Config'!$A$3:$AQ$51,3,FALSE),"")</f>
        <v>A-FY14</v>
      </c>
      <c r="D5" s="933" t="str">
        <f>VLOOKUP($A5,'TIS Site Config'!$A$3:$AQ$51,4,FALSE)</f>
        <v>Bartlett Experimental Forest</v>
      </c>
      <c r="E5" s="786">
        <f t="shared" ref="E5:E50" si="129">COUNTIF(G5:N5,"&lt;&gt;"&amp;"")</f>
        <v>6</v>
      </c>
      <c r="F5" s="866"/>
      <c r="G5" s="373">
        <v>0.1</v>
      </c>
      <c r="H5" s="373">
        <v>4</v>
      </c>
      <c r="I5" s="373">
        <v>16</v>
      </c>
      <c r="J5" s="373">
        <v>20</v>
      </c>
      <c r="K5" s="373">
        <v>26</v>
      </c>
      <c r="L5" s="373">
        <v>35</v>
      </c>
      <c r="M5" s="373"/>
      <c r="N5" s="374"/>
      <c r="O5" s="617">
        <v>116</v>
      </c>
      <c r="P5" s="618" t="s">
        <v>138</v>
      </c>
      <c r="Q5" s="772">
        <f t="shared" ref="Q5:Q50" si="130">IF(ISNUMBER(O5),
         (O5-4-IF(P5="Guyed",2,0))/11,
          "ERROR")</f>
        <v>10</v>
      </c>
      <c r="R5" s="620">
        <v>1</v>
      </c>
      <c r="S5" s="620"/>
      <c r="T5" s="371" t="s">
        <v>203</v>
      </c>
      <c r="U5" s="371" t="s">
        <v>203</v>
      </c>
      <c r="V5" s="371" t="s">
        <v>203</v>
      </c>
      <c r="W5" s="371" t="s">
        <v>203</v>
      </c>
      <c r="X5" s="371" t="s">
        <v>203</v>
      </c>
      <c r="Y5" s="371" t="s">
        <v>203</v>
      </c>
      <c r="Z5" s="371" t="s">
        <v>203</v>
      </c>
      <c r="AA5" s="371" t="s">
        <v>203</v>
      </c>
      <c r="AB5" s="371" t="s">
        <v>203</v>
      </c>
      <c r="AC5" s="371" t="s">
        <v>203</v>
      </c>
      <c r="AD5" s="371"/>
      <c r="AE5" s="371"/>
      <c r="AF5" s="371"/>
      <c r="AG5" s="371"/>
      <c r="AH5" s="371"/>
      <c r="AI5" s="371"/>
      <c r="AJ5" s="371"/>
      <c r="AK5" s="608"/>
      <c r="AL5" s="375">
        <v>6</v>
      </c>
      <c r="AM5" s="775">
        <f t="shared" ref="AM5:AM51" si="131">(IF(P5="Guyed",
          AL5+22.5,
            IF(P5="Self Supporting",
                   AL5+5,
                   "ERROR")))</f>
        <v>28.5</v>
      </c>
      <c r="AN5" s="373"/>
      <c r="AO5" s="789">
        <f t="shared" si="76"/>
        <v>2.2916666666666665</v>
      </c>
      <c r="AP5" s="844">
        <v>0.1</v>
      </c>
      <c r="AQ5" s="845">
        <v>4</v>
      </c>
      <c r="AR5" s="845">
        <v>16</v>
      </c>
      <c r="AS5" s="845">
        <v>20</v>
      </c>
      <c r="AT5" s="845">
        <v>26</v>
      </c>
      <c r="AU5" s="845">
        <v>35</v>
      </c>
      <c r="AV5" s="845"/>
      <c r="AW5" s="846"/>
      <c r="AX5" s="857">
        <v>0.1</v>
      </c>
      <c r="AY5" s="858">
        <v>4</v>
      </c>
      <c r="AZ5" s="858">
        <v>16</v>
      </c>
      <c r="BA5" s="858">
        <v>20</v>
      </c>
      <c r="BB5" s="858">
        <v>26</v>
      </c>
      <c r="BC5" s="858">
        <v>35</v>
      </c>
      <c r="BD5" s="858">
        <v>0</v>
      </c>
      <c r="BE5" s="859">
        <v>0</v>
      </c>
      <c r="BF5" s="794">
        <f t="shared" si="77"/>
        <v>-0.17850751610594129</v>
      </c>
      <c r="BG5" s="599">
        <f t="shared" si="78"/>
        <v>0.98469935576234802</v>
      </c>
      <c r="BH5" s="599">
        <f t="shared" si="79"/>
        <v>4.5637974230493921</v>
      </c>
      <c r="BI5" s="599">
        <f t="shared" si="80"/>
        <v>5.7568301121450736</v>
      </c>
      <c r="BJ5" s="599">
        <f t="shared" si="81"/>
        <v>7.5463791457885945</v>
      </c>
      <c r="BK5" s="599">
        <f t="shared" si="82"/>
        <v>10</v>
      </c>
      <c r="BL5" s="599">
        <f t="shared" si="83"/>
        <v>0</v>
      </c>
      <c r="BM5" s="795">
        <f t="shared" si="84"/>
        <v>0</v>
      </c>
      <c r="BN5" s="1019">
        <f>COUNTIF(BF5:BM5,"&lt;1")-COUNTIF(BF5:BM5,"=0")</f>
        <v>2</v>
      </c>
      <c r="BO5" s="1020">
        <f t="shared" si="86"/>
        <v>0</v>
      </c>
      <c r="BP5" s="371">
        <f t="shared" si="86"/>
        <v>0</v>
      </c>
      <c r="BQ5" s="371">
        <f t="shared" si="86"/>
        <v>0</v>
      </c>
      <c r="BR5" s="371">
        <f t="shared" si="86"/>
        <v>1</v>
      </c>
      <c r="BS5" s="371">
        <f t="shared" si="86"/>
        <v>1</v>
      </c>
      <c r="BT5" s="371">
        <f t="shared" si="86"/>
        <v>0</v>
      </c>
      <c r="BU5" s="371">
        <f t="shared" si="86"/>
        <v>1</v>
      </c>
      <c r="BV5" s="371">
        <f t="shared" si="86"/>
        <v>0</v>
      </c>
      <c r="BW5" s="371">
        <f t="shared" si="86"/>
        <v>0</v>
      </c>
      <c r="BX5" s="371">
        <f t="shared" si="86"/>
        <v>1</v>
      </c>
      <c r="BY5" s="371" t="str">
        <f t="shared" si="87"/>
        <v/>
      </c>
      <c r="BZ5" s="371" t="str">
        <f t="shared" si="87"/>
        <v/>
      </c>
      <c r="CA5" s="371" t="str">
        <f t="shared" si="87"/>
        <v/>
      </c>
      <c r="CB5" s="371" t="str">
        <f t="shared" si="87"/>
        <v/>
      </c>
      <c r="CC5" s="371" t="str">
        <f t="shared" si="87"/>
        <v/>
      </c>
      <c r="CD5" s="371" t="str">
        <f t="shared" si="87"/>
        <v/>
      </c>
      <c r="CE5" s="371" t="str">
        <f t="shared" si="87"/>
        <v/>
      </c>
      <c r="CF5" s="799" t="str">
        <f t="shared" si="87"/>
        <v/>
      </c>
      <c r="CG5" s="807" t="str">
        <f t="shared" si="88"/>
        <v>B, p-thru above</v>
      </c>
      <c r="CH5" s="595" t="str">
        <f t="shared" si="89"/>
        <v>p-thru</v>
      </c>
      <c r="CI5" s="595" t="str">
        <f t="shared" si="90"/>
        <v>p-thru</v>
      </c>
      <c r="CJ5" s="595" t="str">
        <f t="shared" si="91"/>
        <v>ML</v>
      </c>
      <c r="CK5" s="595" t="str">
        <f t="shared" si="92"/>
        <v>ML</v>
      </c>
      <c r="CL5" s="595" t="str">
        <f t="shared" si="93"/>
        <v>p-thru</v>
      </c>
      <c r="CM5" s="595" t="str">
        <f t="shared" si="94"/>
        <v>ML</v>
      </c>
      <c r="CN5" s="595" t="str">
        <f t="shared" si="95"/>
        <v>p-thru</v>
      </c>
      <c r="CO5" s="595" t="str">
        <f t="shared" si="96"/>
        <v>p-thru</v>
      </c>
      <c r="CP5" s="595" t="str">
        <f t="shared" si="97"/>
        <v>TOP</v>
      </c>
      <c r="CQ5" s="595" t="str">
        <f t="shared" si="98"/>
        <v/>
      </c>
      <c r="CR5" s="595" t="str">
        <f t="shared" si="99"/>
        <v/>
      </c>
      <c r="CS5" s="595" t="str">
        <f t="shared" si="100"/>
        <v/>
      </c>
      <c r="CT5" s="595" t="str">
        <f t="shared" si="101"/>
        <v/>
      </c>
      <c r="CU5" s="595" t="str">
        <f t="shared" si="102"/>
        <v/>
      </c>
      <c r="CV5" s="595" t="str">
        <f t="shared" si="103"/>
        <v/>
      </c>
      <c r="CW5" s="595" t="str">
        <f t="shared" si="104"/>
        <v/>
      </c>
      <c r="CX5" s="808" t="str">
        <f t="shared" si="105"/>
        <v/>
      </c>
      <c r="CY5" s="816">
        <f>IF(VLOOKUP(A5,'TIS Site Config'!$A$4:$AQ$51,6,FALSE)="Non-heated",COUNTIF($CG5:$CX5,$DT$3),0)</f>
        <v>0</v>
      </c>
      <c r="CZ5" s="596">
        <f>IF(OR(VLOOKUP(A5,'TIS Site Config'!$A$4:$AQ$51,6,FALSE)="Heated",VLOOKUP(A5,'TIS Site Config'!$A$4:$AQ$51,6,FALSE)="Extreme Heated"),COUNTIF($CG5:$CX5,$DT$3),0)</f>
        <v>1</v>
      </c>
      <c r="DA5" s="596">
        <f>IF(VLOOKUP(A5,'TIS Site Config'!$A$4:$AQ$51,6,FALSE)="Non-heated",COUNTIF($CG5:$CX5,$DU$3),0)</f>
        <v>0</v>
      </c>
      <c r="DB5" s="596">
        <f>IF(OR(VLOOKUP(A5,'TIS Site Config'!$A$4:$AQ$51,6,FALSE)="Heated",VLOOKUP(A5,'TIS Site Config'!$A$4:$AQ$51,6,FALSE)="Extreme heated"),COUNTIF($CG5:$CX5,$DU$3),0)</f>
        <v>0</v>
      </c>
      <c r="DC5" s="596">
        <f>IF(VLOOKUP(A5,'TIS Site Config'!$A$4:$AQ$51,6,FALSE)="Non-heated",COUNTIF($CG5:$CX5,$DW$3),0)</f>
        <v>0</v>
      </c>
      <c r="DD5" s="596">
        <f>IF(OR(VLOOKUP(A5,'TIS Site Config'!$A$4:$AQ$51,6,FALSE)="Heated",VLOOKUP(A5,'TIS Site Config'!$A$4:$AQ$51,6,FALSE)="Extreme heated"),COUNTIF($CG5:$CX5,$DW$3),0)</f>
        <v>3</v>
      </c>
      <c r="DE5" s="596">
        <f t="shared" ref="DE5:DE51" si="132">COUNTIF($CG5:$CX5,$DV$3)</f>
        <v>5</v>
      </c>
      <c r="DF5" s="596">
        <f>IF(VLOOKUP(A5,'TIS Site Config'!$A$4:$AQ$51,6,FALSE)="Non-heated",COUNTIF($CG5:$CX5,$DX$3),0)</f>
        <v>0</v>
      </c>
      <c r="DG5" s="596">
        <f>IF(OR(VLOOKUP(A5,'TIS Site Config'!$A$4:$AQ$51,6,FALSE)="Heated",VLOOKUP(A5,'TIS Site Config'!$A$4:$AQ$51,6,FALSE)="Extreme heated"),COUNTIF($CG5:$CX5,$DX$3),0)</f>
        <v>1</v>
      </c>
      <c r="DH5" s="817"/>
      <c r="DI5" s="791">
        <f t="shared" ref="DI5:DI51" si="133">IF(AND(OR(T5="Heavy",T5="Extreme"),OR(U5="Heavy",U5="Extreme")),BN5,IF(AND(OR(T5="Heavy",T5="Extreme"),U5="Standard"),1,0))+
IF(AND(OR(U5="Heavy",U5="Extreme"),OR(V5="Heavy",V5="Extreme")),BO5,0)+
IF(AND(OR(V5="Heavy",V5="Extreme"),OR(W5="Heavy",W5="Extreme")),BP5,0)+
IF(AND(OR(W5="Heavy",W5="Extreme"),OR(X5="Heavy",X5="Extreme")),BQ5,0)+
IF(AND(OR(X5="Heavy",X5="Extreme"),OR(Y5="Heavy",Y5="Extreme")),BR5,0)+
IF(AND(OR(Y5="Heavy",Y5="Extreme"),OR(Z5="Heavy",Z5="Extreme")),BS5,0)+
IF(AND(OR(Z5="Heavy",Z5="Extreme"),OR(AA5="Heavy",AA5="Extreme")),BT5,0)+
IF(AND(OR(AA5="Heavy",AA5="Extreme"),OR(AB5="Heavy",AB5="Extreme")),BU5,0)+
IF(AND(OR(AB5="Heavy",AB5="Extreme"),OR(AC5="Heavy",AC5="Extreme")),BV5,0)+
IF(AND(OR(AC5="Heavy",AC5="Extreme"),OR(AD5="Heavy",AD5="Extreme")),BW5,0)+
IF(AND(OR(AD5="Heavy",AD5="Extreme"),OR(AE5="Heavy",AE5="Extreme")),BX5,0)+
IF(AND(OR(AE5="Heavy",AE5="Extreme"),OR(AF5="Heavy",AF5="Extreme")),BY5,0)+
IF(AND(OR(AF5="Heavy",AF5="Extreme"),OR(AG5="Heavy",AG5="Extreme")),BZ5,0)+
IF(AND(OR(AG5="Heavy",AG5="Extreme"),OR(H5="Heavy",AH5="Extreme")),CA5,0)+
IF(AND(OR(AH5="Heavy",AH5="Extreme"),OR(AI5="Heavy",AI5="Extreme")),CB5,0)+
IF(AND(OR(AI5="Heavy",AI5="Extreme"),OR(AJ5="Heavy",AJ5="Extreme")),CC5,0)+
IF(AND(OR(AJ5="Heavy",AJ5="Extreme"),OR(AK5="Heavy",AK5="Extreme")),CD5,0)+
IF(OR(AK5="Heavy",AK5="Extreme"),CE5,0)</f>
        <v>0</v>
      </c>
      <c r="DJ5" s="365">
        <f t="shared" ref="DJ5:DJ51" si="134">IF(AND(OR(T5="Heavy",T5="Extreme"),U5="Standard"),BN5-1+BO5,0)+
IF(AND(OR(U5="Heavy",U5="Extreme"),V5="Standard"),BO5+BP5,0)+
IF(AND(OR(V5="Heavy",V5="Extreme"),W5="Standard"),BP5+BQ5,0)+
IF(AND(OR(W5="Heavy",W5="Extreme"),X5="Standard"),BQ5+BR5,0)+
IF(AND(OR(X5="Heavy",X5="Extreme"),Y5="Standard"),BR5+BS5,0)+
IF(AND(OR(Y5="Heavy",Y5="Extreme"),Z5="Standard"),BS5+BT5,0)+
IF(AND(OR(Z5="Heavy",Z5="Extreme"),AA5="Standard"),BT5+BU5,0)+
IF(AND(OR(AA5="Heavy",AA5="Extreme"),AB5="Standard"),BU5+BV5,0)+
IF(AND(OR(AB5="Heavy",AB5="Extreme"),AC5="Standard"),BV5+BW5,0)+
IF(AND(OR(AC5="Heavy",AC5="Extreme"),AD5="Standard"),BW5+BX5,0)+
IF(AND(OR(AD5="Heavy",AD5="Extreme"),AE5="Standard"),BX5+BY5,0)+
IF(AND(OR(AE5="Heavy",AE5="Extreme"),AF5="Standard"),BY5+BZ5,0)+
IF(AND(OR(AF5="Heavy",AF5="Extreme"),AG5="Standard"),BZ5+CA5,0)+
IF(AND(OR(AG5="Heavy",AG5="Extreme"),H5="Standard"),CA5+CB5,0)+
IF(AND(OR(AH5="Heavy",AH5="Extreme"),AI5="Standard"),CB5+CC5,0)+
IF(AND(OR(AI5="Heavy",AI5="Extreme"),AJ5="Standard"),CC5+CD5,0)+
IF(AND(OR(AJ5="Heavy",AJ5="Extreme"),AK5="Standard"),CD5+CE5,0)</f>
        <v>0</v>
      </c>
      <c r="DK5" s="365">
        <f t="shared" ref="DK5:DK51" si="135">E5-DI5-DJ5-DL5</f>
        <v>5</v>
      </c>
      <c r="DL5" s="376">
        <v>1</v>
      </c>
      <c r="DM5" s="609">
        <f t="shared" si="106"/>
        <v>6</v>
      </c>
      <c r="DN5" s="883">
        <f t="shared" ref="DN5:DN51" si="136">E5-DM5</f>
        <v>0</v>
      </c>
      <c r="DO5" s="593">
        <f t="shared" si="107"/>
        <v>1</v>
      </c>
      <c r="DP5" s="593">
        <f t="shared" si="108"/>
        <v>5</v>
      </c>
      <c r="DR5" s="504">
        <f t="shared" si="109"/>
        <v>10</v>
      </c>
      <c r="DS5" s="504">
        <f t="shared" si="110"/>
        <v>0</v>
      </c>
      <c r="DT5" s="504">
        <f t="shared" si="111"/>
        <v>0</v>
      </c>
      <c r="DZ5" s="794">
        <f t="shared" ref="DZ5:DZ51" si="137">IF(BF5&lt;&gt;0, BF5,100)</f>
        <v>-0.17850751610594129</v>
      </c>
      <c r="EA5" s="599">
        <f t="shared" si="112"/>
        <v>0.98469935576234802</v>
      </c>
      <c r="EB5" s="599">
        <f t="shared" si="113"/>
        <v>4.5637974230493921</v>
      </c>
      <c r="EC5" s="599">
        <f t="shared" si="114"/>
        <v>5.7568301121450736</v>
      </c>
      <c r="ED5" s="599">
        <f t="shared" si="115"/>
        <v>7.5463791457885945</v>
      </c>
      <c r="EE5" s="599">
        <f t="shared" si="116"/>
        <v>10</v>
      </c>
      <c r="EF5" s="599">
        <f t="shared" si="117"/>
        <v>100</v>
      </c>
      <c r="EG5" s="795">
        <f t="shared" si="118"/>
        <v>100</v>
      </c>
      <c r="EH5" s="1054">
        <f t="shared" si="119"/>
        <v>100</v>
      </c>
      <c r="EI5" s="1054">
        <f t="shared" si="120"/>
        <v>100</v>
      </c>
      <c r="EJ5" s="1054">
        <f t="shared" si="121"/>
        <v>10</v>
      </c>
      <c r="EK5" s="1054">
        <f t="shared" si="122"/>
        <v>7.5463791457885945</v>
      </c>
      <c r="EL5" s="1054">
        <f t="shared" si="123"/>
        <v>5.7568301121450736</v>
      </c>
      <c r="EM5" s="1054">
        <f t="shared" si="124"/>
        <v>4.5637974230493921</v>
      </c>
      <c r="EN5" s="1054">
        <f t="shared" si="125"/>
        <v>0.98469935576234802</v>
      </c>
      <c r="EO5" s="1054">
        <f t="shared" si="126"/>
        <v>-0.17850751610594129</v>
      </c>
      <c r="EP5" s="1066" t="str">
        <f t="shared" si="127"/>
        <v>ML2.5</v>
      </c>
      <c r="EQ5" s="794"/>
      <c r="ER5" s="795" t="str">
        <f t="shared" si="128"/>
        <v>ML1</v>
      </c>
      <c r="ES5" s="795" t="str">
        <f t="shared" ref="ES5:ES51" si="138">CONCATENATE("ML",TEXT(E5-1,0),".5")</f>
        <v>ML5.5</v>
      </c>
    </row>
    <row r="6" spans="1:152" s="504" customFormat="1" x14ac:dyDescent="0.25">
      <c r="A6" s="585" t="s">
        <v>98</v>
      </c>
      <c r="B6" s="934" t="str">
        <f>VLOOKUP($A6,'TIS Site Config'!$A$3:$AQ$51,2,FALSE)</f>
        <v>D02</v>
      </c>
      <c r="C6" s="934" t="str">
        <f>IF(VLOOKUP($A6,'TIS Site Config'!$A$3:$AQ$51,3,FALSE)&lt;&gt;"",
              VLOOKUP($A6,'TIS Site Config'!$A$3:$AQ$51,3,FALSE),"")</f>
        <v>A-FY14</v>
      </c>
      <c r="D6" s="935" t="str">
        <f>VLOOKUP($A6,'TIS Site Config'!$A$3:$AQ$51,4,FALSE)</f>
        <v>Smithsonian Conservation Biology Institute</v>
      </c>
      <c r="E6" s="784">
        <f t="shared" si="129"/>
        <v>6</v>
      </c>
      <c r="F6" s="864"/>
      <c r="G6" s="597">
        <v>0.2</v>
      </c>
      <c r="H6" s="597">
        <v>7</v>
      </c>
      <c r="I6" s="597">
        <v>17</v>
      </c>
      <c r="J6" s="597">
        <v>29</v>
      </c>
      <c r="K6" s="597">
        <v>38</v>
      </c>
      <c r="L6" s="597">
        <v>50</v>
      </c>
      <c r="M6" s="597"/>
      <c r="N6" s="826"/>
      <c r="O6" s="613">
        <v>171</v>
      </c>
      <c r="P6" s="614" t="s">
        <v>138</v>
      </c>
      <c r="Q6" s="770">
        <f t="shared" si="130"/>
        <v>15</v>
      </c>
      <c r="R6" s="611">
        <v>1</v>
      </c>
      <c r="S6" s="611"/>
      <c r="T6" s="368" t="s">
        <v>203</v>
      </c>
      <c r="U6" s="368" t="s">
        <v>203</v>
      </c>
      <c r="V6" s="368" t="s">
        <v>203</v>
      </c>
      <c r="W6" s="368" t="s">
        <v>203</v>
      </c>
      <c r="X6" s="368" t="s">
        <v>203</v>
      </c>
      <c r="Y6" s="368" t="s">
        <v>203</v>
      </c>
      <c r="Z6" s="368" t="s">
        <v>203</v>
      </c>
      <c r="AA6" s="368" t="s">
        <v>203</v>
      </c>
      <c r="AB6" s="368" t="s">
        <v>203</v>
      </c>
      <c r="AC6" s="368" t="s">
        <v>203</v>
      </c>
      <c r="AD6" s="368" t="s">
        <v>203</v>
      </c>
      <c r="AE6" s="368" t="s">
        <v>203</v>
      </c>
      <c r="AF6" s="368" t="s">
        <v>203</v>
      </c>
      <c r="AG6" s="368" t="s">
        <v>203</v>
      </c>
      <c r="AH6" s="368" t="s">
        <v>203</v>
      </c>
      <c r="AI6" s="368"/>
      <c r="AJ6" s="368"/>
      <c r="AK6" s="602"/>
      <c r="AL6" s="819">
        <v>3</v>
      </c>
      <c r="AM6" s="773">
        <f t="shared" si="131"/>
        <v>25.5</v>
      </c>
      <c r="AN6" s="597">
        <v>25.875</v>
      </c>
      <c r="AO6" s="787">
        <f t="shared" si="76"/>
        <v>2.0729166666666665</v>
      </c>
      <c r="AP6" s="838">
        <v>0.2</v>
      </c>
      <c r="AQ6" s="839">
        <v>7</v>
      </c>
      <c r="AR6" s="839">
        <v>17</v>
      </c>
      <c r="AS6" s="839">
        <v>29</v>
      </c>
      <c r="AT6" s="839">
        <v>38</v>
      </c>
      <c r="AU6" s="839">
        <v>50</v>
      </c>
      <c r="AV6" s="839"/>
      <c r="AW6" s="840"/>
      <c r="AX6" s="860">
        <v>0.2</v>
      </c>
      <c r="AY6" s="852">
        <v>7</v>
      </c>
      <c r="AZ6" s="852">
        <v>17</v>
      </c>
      <c r="BA6" s="852">
        <v>29</v>
      </c>
      <c r="BB6" s="852">
        <v>38</v>
      </c>
      <c r="BC6" s="852">
        <v>50</v>
      </c>
      <c r="BD6" s="852">
        <v>0</v>
      </c>
      <c r="BE6" s="853">
        <v>0</v>
      </c>
      <c r="BF6" s="835">
        <f t="shared" si="77"/>
        <v>-0.12879533524218562</v>
      </c>
      <c r="BG6" s="836">
        <f t="shared" si="78"/>
        <v>1.8993602362204725</v>
      </c>
      <c r="BH6" s="836">
        <f t="shared" si="79"/>
        <v>4.8819419589596755</v>
      </c>
      <c r="BI6" s="836">
        <f t="shared" si="80"/>
        <v>8.4610400262467191</v>
      </c>
      <c r="BJ6" s="836">
        <f t="shared" si="81"/>
        <v>11.145363576712002</v>
      </c>
      <c r="BK6" s="836">
        <f t="shared" si="82"/>
        <v>15</v>
      </c>
      <c r="BL6" s="836">
        <f t="shared" si="83"/>
        <v>0</v>
      </c>
      <c r="BM6" s="837">
        <f t="shared" si="84"/>
        <v>0</v>
      </c>
      <c r="BN6" s="800">
        <f t="shared" ref="BN6:BN51" si="139">COUNTIF(BF6:BM6,"&lt;1")-COUNTIF(BF6:BM6,"=0")</f>
        <v>1</v>
      </c>
      <c r="BO6" s="369">
        <f t="shared" si="86"/>
        <v>1</v>
      </c>
      <c r="BP6" s="369">
        <f t="shared" si="86"/>
        <v>0</v>
      </c>
      <c r="BQ6" s="368">
        <f t="shared" si="86"/>
        <v>0</v>
      </c>
      <c r="BR6" s="368">
        <f t="shared" si="86"/>
        <v>1</v>
      </c>
      <c r="BS6" s="368">
        <f t="shared" si="86"/>
        <v>0</v>
      </c>
      <c r="BT6" s="368">
        <f t="shared" si="86"/>
        <v>0</v>
      </c>
      <c r="BU6" s="368">
        <f t="shared" si="86"/>
        <v>0</v>
      </c>
      <c r="BV6" s="368">
        <f t="shared" si="86"/>
        <v>1</v>
      </c>
      <c r="BW6" s="368">
        <f t="shared" si="86"/>
        <v>0</v>
      </c>
      <c r="BX6" s="368">
        <f t="shared" si="86"/>
        <v>0</v>
      </c>
      <c r="BY6" s="368">
        <f t="shared" si="87"/>
        <v>1</v>
      </c>
      <c r="BZ6" s="368">
        <f t="shared" si="87"/>
        <v>0</v>
      </c>
      <c r="CA6" s="368">
        <f t="shared" si="87"/>
        <v>0</v>
      </c>
      <c r="CB6" s="368">
        <f t="shared" si="87"/>
        <v>0</v>
      </c>
      <c r="CC6" s="368">
        <f t="shared" si="87"/>
        <v>1</v>
      </c>
      <c r="CD6" s="368" t="str">
        <f t="shared" si="87"/>
        <v/>
      </c>
      <c r="CE6" s="368" t="str">
        <f t="shared" si="87"/>
        <v/>
      </c>
      <c r="CF6" s="797" t="str">
        <f t="shared" si="87"/>
        <v/>
      </c>
      <c r="CG6" s="803" t="str">
        <f t="shared" si="88"/>
        <v>B, ML above</v>
      </c>
      <c r="CH6" s="591" t="str">
        <f t="shared" si="89"/>
        <v>p-thru</v>
      </c>
      <c r="CI6" s="591" t="str">
        <f t="shared" si="90"/>
        <v>p-thru</v>
      </c>
      <c r="CJ6" s="591" t="str">
        <f t="shared" si="91"/>
        <v>ML</v>
      </c>
      <c r="CK6" s="591" t="str">
        <f t="shared" si="92"/>
        <v>p-thru</v>
      </c>
      <c r="CL6" s="591" t="str">
        <f t="shared" si="93"/>
        <v>p-thru</v>
      </c>
      <c r="CM6" s="591" t="str">
        <f t="shared" si="94"/>
        <v>p-thru</v>
      </c>
      <c r="CN6" s="591" t="str">
        <f t="shared" si="95"/>
        <v>ML</v>
      </c>
      <c r="CO6" s="591" t="str">
        <f t="shared" si="96"/>
        <v>p-thru</v>
      </c>
      <c r="CP6" s="591" t="str">
        <f t="shared" si="97"/>
        <v>p-thru</v>
      </c>
      <c r="CQ6" s="591" t="str">
        <f t="shared" si="98"/>
        <v>ML</v>
      </c>
      <c r="CR6" s="591" t="str">
        <f t="shared" si="99"/>
        <v>p-thru</v>
      </c>
      <c r="CS6" s="591" t="str">
        <f t="shared" si="100"/>
        <v>p-thru</v>
      </c>
      <c r="CT6" s="591" t="str">
        <f t="shared" si="101"/>
        <v>p-thru</v>
      </c>
      <c r="CU6" s="591" t="str">
        <f t="shared" si="102"/>
        <v>TOP</v>
      </c>
      <c r="CV6" s="591" t="str">
        <f t="shared" si="103"/>
        <v/>
      </c>
      <c r="CW6" s="591" t="str">
        <f t="shared" si="104"/>
        <v/>
      </c>
      <c r="CX6" s="804" t="str">
        <f t="shared" si="105"/>
        <v/>
      </c>
      <c r="CY6" s="813">
        <f>IF(VLOOKUP(A6,'TIS Site Config'!$A$4:$AQ$51,6,FALSE)="Non-heated",COUNTIF($CG6:$CX6,$DT$3),0)</f>
        <v>0</v>
      </c>
      <c r="CZ6" s="592">
        <f>IF(OR(VLOOKUP(A6,'TIS Site Config'!$A$4:$AQ$51,6,FALSE)="Heated",VLOOKUP(A6,'TIS Site Config'!$A$4:$AQ$51,6,FALSE)="Extreme Heated"),COUNTIF($CG6:$CX6,$DT$3),0)</f>
        <v>0</v>
      </c>
      <c r="DA6" s="592">
        <f>IF(VLOOKUP(A6,'TIS Site Config'!$A$4:$AQ$51,6,FALSE)="Non-heated",COUNTIF($CG6:$CX6,$DU$3),0)</f>
        <v>0</v>
      </c>
      <c r="DB6" s="592">
        <f>IF(OR(VLOOKUP(A6,'TIS Site Config'!$A$4:$AQ$51,6,FALSE)="Heated",VLOOKUP(A6,'TIS Site Config'!$A$4:$AQ$51,6,FALSE)="Extreme heated"),COUNTIF($CG6:$CX6,$DU$3),0)</f>
        <v>1</v>
      </c>
      <c r="DC6" s="592">
        <f>IF(VLOOKUP(A6,'TIS Site Config'!$A$4:$AQ$51,6,FALSE)="Non-heated",COUNTIF($CG6:$CX6,$DW$3),0)</f>
        <v>0</v>
      </c>
      <c r="DD6" s="592">
        <f>IF(OR(VLOOKUP(A6,'TIS Site Config'!$A$4:$AQ$51,6,FALSE)="Heated",VLOOKUP(A6,'TIS Site Config'!$A$4:$AQ$51,6,FALSE)="Extreme heated"),COUNTIF($CG6:$CX6,$DW$3),0)</f>
        <v>3</v>
      </c>
      <c r="DE6" s="592">
        <f t="shared" si="132"/>
        <v>10</v>
      </c>
      <c r="DF6" s="592">
        <f>IF(VLOOKUP(A6,'TIS Site Config'!$A$4:$AQ$51,6,FALSE)="Non-heated",COUNTIF($CG6:$CX6,$DX$3),0)</f>
        <v>0</v>
      </c>
      <c r="DG6" s="592">
        <f>IF(OR(VLOOKUP(A6,'TIS Site Config'!$A$4:$AQ$51,6,FALSE)="Heated",VLOOKUP(A6,'TIS Site Config'!$A$4:$AQ$51,6,FALSE)="Extreme heated"),COUNTIF($CG6:$CX6,$DX$3),0)</f>
        <v>1</v>
      </c>
      <c r="DH6" s="814"/>
      <c r="DI6" s="810">
        <f t="shared" si="133"/>
        <v>0</v>
      </c>
      <c r="DJ6" s="355">
        <f t="shared" si="134"/>
        <v>0</v>
      </c>
      <c r="DK6" s="355">
        <f t="shared" si="135"/>
        <v>5</v>
      </c>
      <c r="DL6" s="603">
        <v>1</v>
      </c>
      <c r="DM6" s="604">
        <f t="shared" si="106"/>
        <v>6</v>
      </c>
      <c r="DN6" s="883">
        <f t="shared" si="136"/>
        <v>0</v>
      </c>
      <c r="DO6" s="593">
        <f t="shared" si="107"/>
        <v>2</v>
      </c>
      <c r="DP6" s="593">
        <f t="shared" si="108"/>
        <v>5</v>
      </c>
      <c r="DR6" s="504">
        <f t="shared" si="109"/>
        <v>15</v>
      </c>
      <c r="DS6" s="504">
        <f t="shared" si="110"/>
        <v>0</v>
      </c>
      <c r="DT6" s="504">
        <f t="shared" si="111"/>
        <v>0</v>
      </c>
      <c r="DZ6" s="835">
        <f t="shared" si="137"/>
        <v>-0.12879533524218562</v>
      </c>
      <c r="EA6" s="836">
        <f t="shared" si="112"/>
        <v>1.8993602362204725</v>
      </c>
      <c r="EB6" s="836">
        <f t="shared" si="113"/>
        <v>4.8819419589596755</v>
      </c>
      <c r="EC6" s="836">
        <f t="shared" si="114"/>
        <v>8.4610400262467191</v>
      </c>
      <c r="ED6" s="836">
        <f t="shared" si="115"/>
        <v>11.145363576712002</v>
      </c>
      <c r="EE6" s="836">
        <f t="shared" si="116"/>
        <v>15</v>
      </c>
      <c r="EF6" s="836">
        <f t="shared" si="117"/>
        <v>100</v>
      </c>
      <c r="EG6" s="837">
        <f t="shared" si="118"/>
        <v>100</v>
      </c>
      <c r="EH6" s="1053">
        <f t="shared" si="119"/>
        <v>100</v>
      </c>
      <c r="EI6" s="1053">
        <f t="shared" si="120"/>
        <v>100</v>
      </c>
      <c r="EJ6" s="1053">
        <f t="shared" si="121"/>
        <v>15</v>
      </c>
      <c r="EK6" s="1053">
        <f t="shared" si="122"/>
        <v>11.145363576712002</v>
      </c>
      <c r="EL6" s="1053">
        <f t="shared" si="123"/>
        <v>8.4610400262467191</v>
      </c>
      <c r="EM6" s="1053">
        <f t="shared" si="124"/>
        <v>4.8819419589596755</v>
      </c>
      <c r="EN6" s="1053">
        <f t="shared" si="125"/>
        <v>1.8993602362204725</v>
      </c>
      <c r="EO6" s="1053">
        <f t="shared" si="126"/>
        <v>-0.12879533524218562</v>
      </c>
      <c r="EP6" s="1065" t="str">
        <f t="shared" si="127"/>
        <v>ML1.5</v>
      </c>
      <c r="EQ6" s="835"/>
      <c r="ER6" s="837" t="str">
        <f t="shared" si="128"/>
        <v>ML1</v>
      </c>
      <c r="ES6" s="837" t="str">
        <f t="shared" si="138"/>
        <v>ML5.5</v>
      </c>
    </row>
    <row r="7" spans="1:152" s="504" customFormat="1" x14ac:dyDescent="0.25">
      <c r="A7" s="514" t="s">
        <v>137</v>
      </c>
      <c r="B7" s="757" t="str">
        <f>VLOOKUP($A7,'TIS Site Config'!$A$3:$AQ$51,2,FALSE)</f>
        <v>D02</v>
      </c>
      <c r="C7" s="753" t="str">
        <f>IF(VLOOKUP($A7,'TIS Site Config'!$A$3:$AQ$51,3,FALSE)&lt;&gt;"",
              VLOOKUP($A7,'TIS Site Config'!$A$3:$AQ$51,3,FALSE),"")</f>
        <v>D-FY15-3</v>
      </c>
      <c r="D7" s="932" t="str">
        <f>VLOOKUP($A7,'TIS Site Config'!$A$3:$AQ$51,4,FALSE)</f>
        <v>Smithsonian Environmental Research Center</v>
      </c>
      <c r="E7" s="784">
        <f t="shared" si="129"/>
        <v>6</v>
      </c>
      <c r="F7" s="864"/>
      <c r="G7" s="506">
        <v>0.2</v>
      </c>
      <c r="H7" s="506">
        <v>5</v>
      </c>
      <c r="I7" s="796">
        <v>20</v>
      </c>
      <c r="J7" s="796">
        <v>36</v>
      </c>
      <c r="K7" s="506">
        <v>42</v>
      </c>
      <c r="L7" s="506">
        <v>60</v>
      </c>
      <c r="M7" s="506"/>
      <c r="N7" s="507"/>
      <c r="O7" s="615">
        <v>204</v>
      </c>
      <c r="P7" s="616" t="s">
        <v>138</v>
      </c>
      <c r="Q7" s="770">
        <f t="shared" si="130"/>
        <v>18</v>
      </c>
      <c r="R7" s="611">
        <v>1</v>
      </c>
      <c r="S7" s="611"/>
      <c r="T7" s="366" t="s">
        <v>204</v>
      </c>
      <c r="U7" s="366" t="s">
        <v>204</v>
      </c>
      <c r="V7" s="366" t="s">
        <v>204</v>
      </c>
      <c r="W7" s="366" t="s">
        <v>204</v>
      </c>
      <c r="X7" s="366" t="s">
        <v>204</v>
      </c>
      <c r="Y7" s="366" t="s">
        <v>203</v>
      </c>
      <c r="Z7" s="366" t="s">
        <v>203</v>
      </c>
      <c r="AA7" s="366" t="s">
        <v>203</v>
      </c>
      <c r="AB7" s="366" t="s">
        <v>203</v>
      </c>
      <c r="AC7" s="366" t="s">
        <v>203</v>
      </c>
      <c r="AD7" s="366" t="s">
        <v>203</v>
      </c>
      <c r="AE7" s="366" t="s">
        <v>203</v>
      </c>
      <c r="AF7" s="366" t="s">
        <v>203</v>
      </c>
      <c r="AG7" s="366" t="s">
        <v>203</v>
      </c>
      <c r="AH7" s="366" t="s">
        <v>203</v>
      </c>
      <c r="AI7" s="366" t="s">
        <v>203</v>
      </c>
      <c r="AJ7" s="366" t="s">
        <v>203</v>
      </c>
      <c r="AK7" s="605" t="s">
        <v>203</v>
      </c>
      <c r="AL7" s="508">
        <v>3</v>
      </c>
      <c r="AM7" s="773">
        <f t="shared" si="131"/>
        <v>25.5</v>
      </c>
      <c r="AN7" s="506"/>
      <c r="AO7" s="787">
        <f t="shared" si="76"/>
        <v>2.0416666666666665</v>
      </c>
      <c r="AP7" s="841">
        <v>0.2</v>
      </c>
      <c r="AQ7" s="842">
        <v>5</v>
      </c>
      <c r="AR7" s="842">
        <v>20</v>
      </c>
      <c r="AS7" s="842">
        <v>36</v>
      </c>
      <c r="AT7" s="842">
        <v>42</v>
      </c>
      <c r="AU7" s="842">
        <v>60</v>
      </c>
      <c r="AV7" s="842"/>
      <c r="AW7" s="843"/>
      <c r="AX7" s="854">
        <v>0.2</v>
      </c>
      <c r="AY7" s="855">
        <v>5</v>
      </c>
      <c r="AZ7" s="855">
        <v>20</v>
      </c>
      <c r="BA7" s="855">
        <v>36</v>
      </c>
      <c r="BB7" s="855">
        <v>42</v>
      </c>
      <c r="BC7" s="855">
        <v>60</v>
      </c>
      <c r="BD7" s="855">
        <v>0</v>
      </c>
      <c r="BE7" s="856">
        <v>0</v>
      </c>
      <c r="BF7" s="792">
        <f t="shared" si="77"/>
        <v>-0.12595442615127653</v>
      </c>
      <c r="BG7" s="598">
        <f t="shared" si="78"/>
        <v>1.3056848007635411</v>
      </c>
      <c r="BH7" s="598">
        <f t="shared" si="79"/>
        <v>5.779557384872346</v>
      </c>
      <c r="BI7" s="598">
        <f t="shared" si="80"/>
        <v>10.55168814125507</v>
      </c>
      <c r="BJ7" s="598">
        <f t="shared" si="81"/>
        <v>12.341237174898593</v>
      </c>
      <c r="BK7" s="598">
        <f t="shared" si="82"/>
        <v>18</v>
      </c>
      <c r="BL7" s="598">
        <f t="shared" si="83"/>
        <v>0</v>
      </c>
      <c r="BM7" s="793">
        <f t="shared" si="84"/>
        <v>0</v>
      </c>
      <c r="BN7" s="801">
        <f t="shared" si="139"/>
        <v>1</v>
      </c>
      <c r="BO7" s="366">
        <f t="shared" si="86"/>
        <v>1</v>
      </c>
      <c r="BP7" s="366">
        <f t="shared" si="86"/>
        <v>0</v>
      </c>
      <c r="BQ7" s="366">
        <f t="shared" si="86"/>
        <v>0</v>
      </c>
      <c r="BR7" s="366">
        <f t="shared" si="86"/>
        <v>0</v>
      </c>
      <c r="BS7" s="367">
        <f t="shared" si="86"/>
        <v>1</v>
      </c>
      <c r="BT7" s="367">
        <f t="shared" si="86"/>
        <v>0</v>
      </c>
      <c r="BU7" s="366">
        <f t="shared" si="86"/>
        <v>0</v>
      </c>
      <c r="BV7" s="366">
        <f t="shared" si="86"/>
        <v>0</v>
      </c>
      <c r="BW7" s="366">
        <f t="shared" si="86"/>
        <v>0</v>
      </c>
      <c r="BX7" s="366">
        <f t="shared" si="86"/>
        <v>1</v>
      </c>
      <c r="BY7" s="366">
        <f t="shared" si="87"/>
        <v>0</v>
      </c>
      <c r="BZ7" s="366">
        <f t="shared" si="87"/>
        <v>1</v>
      </c>
      <c r="CA7" s="366">
        <f t="shared" si="87"/>
        <v>0</v>
      </c>
      <c r="CB7" s="366">
        <f t="shared" si="87"/>
        <v>0</v>
      </c>
      <c r="CC7" s="366">
        <f t="shared" si="87"/>
        <v>0</v>
      </c>
      <c r="CD7" s="366">
        <f t="shared" si="87"/>
        <v>0</v>
      </c>
      <c r="CE7" s="366">
        <f t="shared" si="87"/>
        <v>0</v>
      </c>
      <c r="CF7" s="798">
        <f t="shared" si="87"/>
        <v>1</v>
      </c>
      <c r="CG7" s="805" t="str">
        <f t="shared" si="88"/>
        <v>B, ML above</v>
      </c>
      <c r="CH7" s="594" t="str">
        <f t="shared" si="89"/>
        <v>p-thru</v>
      </c>
      <c r="CI7" s="594" t="str">
        <f t="shared" si="90"/>
        <v>p-thru</v>
      </c>
      <c r="CJ7" s="594" t="str">
        <f t="shared" si="91"/>
        <v>p-thru</v>
      </c>
      <c r="CK7" s="594" t="str">
        <f t="shared" si="92"/>
        <v>ML</v>
      </c>
      <c r="CL7" s="594" t="str">
        <f t="shared" si="93"/>
        <v>p-thru</v>
      </c>
      <c r="CM7" s="594" t="str">
        <f t="shared" si="94"/>
        <v>p-thru</v>
      </c>
      <c r="CN7" s="594" t="str">
        <f t="shared" si="95"/>
        <v>p-thru</v>
      </c>
      <c r="CO7" s="594" t="str">
        <f t="shared" si="96"/>
        <v>p-thru</v>
      </c>
      <c r="CP7" s="594" t="str">
        <f t="shared" si="97"/>
        <v>ML</v>
      </c>
      <c r="CQ7" s="594" t="str">
        <f t="shared" si="98"/>
        <v>p-thru</v>
      </c>
      <c r="CR7" s="594" t="str">
        <f t="shared" si="99"/>
        <v>ML</v>
      </c>
      <c r="CS7" s="594" t="str">
        <f t="shared" si="100"/>
        <v>p-thru</v>
      </c>
      <c r="CT7" s="594" t="str">
        <f t="shared" si="101"/>
        <v>p-thru</v>
      </c>
      <c r="CU7" s="594" t="str">
        <f t="shared" si="102"/>
        <v>p-thru</v>
      </c>
      <c r="CV7" s="594" t="str">
        <f t="shared" si="103"/>
        <v>p-thru</v>
      </c>
      <c r="CW7" s="594" t="str">
        <f t="shared" si="104"/>
        <v>p-thru</v>
      </c>
      <c r="CX7" s="806" t="str">
        <f t="shared" si="105"/>
        <v>TOP</v>
      </c>
      <c r="CY7" s="815">
        <f>IF(VLOOKUP(A7,'TIS Site Config'!$A$4:$AQ$51,6,FALSE)="Non-heated",COUNTIF($CG7:$CX7,$DT$3),0)</f>
        <v>0</v>
      </c>
      <c r="CZ7" s="738">
        <f>IF(OR(VLOOKUP(A7,'TIS Site Config'!$A$4:$AQ$51,6,FALSE)="Heated",VLOOKUP(A7,'TIS Site Config'!$A$4:$AQ$51,6,FALSE)="Extreme Heated"),COUNTIF($CG7:$CX7,$DT$3),0)</f>
        <v>0</v>
      </c>
      <c r="DA7" s="738">
        <f>IF(VLOOKUP(A7,'TIS Site Config'!$A$4:$AQ$51,6,FALSE)="Non-heated",COUNTIF($CG7:$CX7,$DU$3),0)</f>
        <v>0</v>
      </c>
      <c r="DB7" s="738">
        <f>IF(OR(VLOOKUP(A7,'TIS Site Config'!$A$4:$AQ$51,6,FALSE)="Heated",VLOOKUP(A7,'TIS Site Config'!$A$4:$AQ$51,6,FALSE)="Extreme heated"),COUNTIF($CG7:$CX7,$DU$3),0)</f>
        <v>1</v>
      </c>
      <c r="DC7" s="738">
        <f>IF(VLOOKUP(A7,'TIS Site Config'!$A$4:$AQ$51,6,FALSE)="Non-heated",COUNTIF($CG7:$CX7,$DW$3),0)</f>
        <v>0</v>
      </c>
      <c r="DD7" s="738">
        <f>IF(OR(VLOOKUP(A7,'TIS Site Config'!$A$4:$AQ$51,6,FALSE)="Heated",VLOOKUP(A7,'TIS Site Config'!$A$4:$AQ$51,6,FALSE)="Extreme heated"),COUNTIF($CG7:$CX7,$DW$3),0)</f>
        <v>3</v>
      </c>
      <c r="DE7" s="738">
        <f t="shared" si="132"/>
        <v>13</v>
      </c>
      <c r="DF7" s="738">
        <f>IF(VLOOKUP(A7,'TIS Site Config'!$A$4:$AQ$51,6,FALSE)="Non-heated",COUNTIF($CG7:$CX7,$DX$3),0)</f>
        <v>0</v>
      </c>
      <c r="DG7" s="738">
        <f>IF(OR(VLOOKUP(A7,'TIS Site Config'!$A$4:$AQ$51,6,FALSE)="Heated",VLOOKUP(A7,'TIS Site Config'!$A$4:$AQ$51,6,FALSE)="Extreme heated"),COUNTIF($CG7:$CX7,$DX$3),0)</f>
        <v>1</v>
      </c>
      <c r="DH7" s="812"/>
      <c r="DI7" s="790">
        <f t="shared" si="133"/>
        <v>2</v>
      </c>
      <c r="DJ7" s="357">
        <f t="shared" si="134"/>
        <v>1</v>
      </c>
      <c r="DK7" s="357">
        <f t="shared" si="135"/>
        <v>2</v>
      </c>
      <c r="DL7" s="606">
        <v>1</v>
      </c>
      <c r="DM7" s="607">
        <f t="shared" si="106"/>
        <v>6</v>
      </c>
      <c r="DN7" s="883">
        <f t="shared" si="136"/>
        <v>0</v>
      </c>
      <c r="DO7" s="593">
        <f t="shared" si="107"/>
        <v>2</v>
      </c>
      <c r="DP7" s="593">
        <f t="shared" si="108"/>
        <v>6</v>
      </c>
      <c r="DR7" s="504">
        <f t="shared" si="109"/>
        <v>13</v>
      </c>
      <c r="DS7" s="504">
        <f t="shared" si="110"/>
        <v>5</v>
      </c>
      <c r="DT7" s="504">
        <f t="shared" si="111"/>
        <v>0</v>
      </c>
      <c r="DZ7" s="792">
        <f t="shared" si="137"/>
        <v>-0.12595442615127653</v>
      </c>
      <c r="EA7" s="598">
        <f t="shared" si="112"/>
        <v>1.3056848007635411</v>
      </c>
      <c r="EB7" s="598">
        <f t="shared" si="113"/>
        <v>5.779557384872346</v>
      </c>
      <c r="EC7" s="598">
        <f t="shared" si="114"/>
        <v>10.55168814125507</v>
      </c>
      <c r="ED7" s="598">
        <f t="shared" si="115"/>
        <v>12.341237174898593</v>
      </c>
      <c r="EE7" s="598">
        <f t="shared" si="116"/>
        <v>18</v>
      </c>
      <c r="EF7" s="598">
        <f t="shared" si="117"/>
        <v>100</v>
      </c>
      <c r="EG7" s="793">
        <f t="shared" si="118"/>
        <v>100</v>
      </c>
      <c r="EH7" s="1055">
        <f t="shared" si="119"/>
        <v>100</v>
      </c>
      <c r="EI7" s="1055">
        <f t="shared" si="120"/>
        <v>100</v>
      </c>
      <c r="EJ7" s="1055">
        <f t="shared" si="121"/>
        <v>18</v>
      </c>
      <c r="EK7" s="1055">
        <f t="shared" si="122"/>
        <v>12.341237174898593</v>
      </c>
      <c r="EL7" s="1055">
        <f t="shared" si="123"/>
        <v>10.55168814125507</v>
      </c>
      <c r="EM7" s="1055">
        <f t="shared" si="124"/>
        <v>5.779557384872346</v>
      </c>
      <c r="EN7" s="1055">
        <f t="shared" si="125"/>
        <v>1.3056848007635411</v>
      </c>
      <c r="EO7" s="1055">
        <f t="shared" si="126"/>
        <v>-0.12595442615127653</v>
      </c>
      <c r="EP7" s="1095" t="str">
        <f t="shared" si="127"/>
        <v>ML2</v>
      </c>
      <c r="EQ7" s="792"/>
      <c r="ER7" s="793" t="str">
        <f t="shared" si="128"/>
        <v>ML1</v>
      </c>
      <c r="ES7" s="793" t="str">
        <f t="shared" si="138"/>
        <v>ML5.5</v>
      </c>
    </row>
    <row r="8" spans="1:152" s="504" customFormat="1" ht="15.75" thickBot="1" x14ac:dyDescent="0.3">
      <c r="A8" s="377" t="s">
        <v>207</v>
      </c>
      <c r="B8" s="761" t="str">
        <f>VLOOKUP($A8,'TIS Site Config'!$A$3:$AQ$51,2,FALSE)</f>
        <v>D02</v>
      </c>
      <c r="C8" s="751" t="str">
        <f>IF(VLOOKUP($A8,'TIS Site Config'!$A$3:$AQ$51,3,FALSE)&lt;&gt;"",
              VLOOKUP($A8,'TIS Site Config'!$A$3:$AQ$51,3,FALSE),"")</f>
        <v>1-FY14</v>
      </c>
      <c r="D8" s="933" t="str">
        <f>VLOOKUP($A8,'TIS Site Config'!$A$3:$AQ$51,4,FALSE)</f>
        <v>Blandy Experimental Farm</v>
      </c>
      <c r="E8" s="785">
        <f t="shared" si="129"/>
        <v>4</v>
      </c>
      <c r="F8" s="865"/>
      <c r="G8" s="365">
        <v>0.2</v>
      </c>
      <c r="H8" s="373">
        <v>1.2</v>
      </c>
      <c r="I8" s="373">
        <v>3</v>
      </c>
      <c r="J8" s="373">
        <v>6</v>
      </c>
      <c r="K8" s="373"/>
      <c r="L8" s="373"/>
      <c r="M8" s="373"/>
      <c r="N8" s="374"/>
      <c r="O8" s="617">
        <v>26</v>
      </c>
      <c r="P8" s="618" t="s">
        <v>139</v>
      </c>
      <c r="Q8" s="771">
        <f t="shared" si="130"/>
        <v>2</v>
      </c>
      <c r="R8" s="612">
        <v>1</v>
      </c>
      <c r="S8" s="612"/>
      <c r="T8" s="371" t="s">
        <v>203</v>
      </c>
      <c r="U8" s="371" t="s">
        <v>203</v>
      </c>
      <c r="V8" s="371"/>
      <c r="W8" s="371"/>
      <c r="X8" s="371"/>
      <c r="Y8" s="371"/>
      <c r="Z8" s="371"/>
      <c r="AA8" s="371"/>
      <c r="AB8" s="371"/>
      <c r="AC8" s="371"/>
      <c r="AD8" s="371"/>
      <c r="AE8" s="371"/>
      <c r="AF8" s="371"/>
      <c r="AG8" s="371"/>
      <c r="AH8" s="371"/>
      <c r="AI8" s="371"/>
      <c r="AJ8" s="371"/>
      <c r="AK8" s="608"/>
      <c r="AL8" s="375">
        <v>9</v>
      </c>
      <c r="AM8" s="774">
        <f t="shared" si="131"/>
        <v>14</v>
      </c>
      <c r="AN8" s="373">
        <v>15.25</v>
      </c>
      <c r="AO8" s="788">
        <f t="shared" si="76"/>
        <v>1.1875</v>
      </c>
      <c r="AP8" s="844">
        <v>0.2</v>
      </c>
      <c r="AQ8" s="845">
        <v>1.2</v>
      </c>
      <c r="AR8" s="845">
        <v>3</v>
      </c>
      <c r="AS8" s="845">
        <v>6</v>
      </c>
      <c r="AT8" s="845"/>
      <c r="AU8" s="845"/>
      <c r="AV8" s="845"/>
      <c r="AW8" s="846"/>
      <c r="AX8" s="857">
        <v>0.2</v>
      </c>
      <c r="AY8" s="858">
        <v>1.2</v>
      </c>
      <c r="AZ8" s="858">
        <v>3</v>
      </c>
      <c r="BA8" s="858">
        <v>6</v>
      </c>
      <c r="BB8" s="858">
        <v>0</v>
      </c>
      <c r="BC8" s="858">
        <v>0</v>
      </c>
      <c r="BD8" s="858">
        <v>0</v>
      </c>
      <c r="BE8" s="859">
        <v>0</v>
      </c>
      <c r="BF8" s="794">
        <f t="shared" si="77"/>
        <v>-4.8302910999761389E-2</v>
      </c>
      <c r="BG8" s="599">
        <f t="shared" si="78"/>
        <v>0.24995526127415893</v>
      </c>
      <c r="BH8" s="599">
        <f t="shared" si="79"/>
        <v>0.78681997136721549</v>
      </c>
      <c r="BI8" s="599">
        <f t="shared" si="80"/>
        <v>2</v>
      </c>
      <c r="BJ8" s="599">
        <f t="shared" si="81"/>
        <v>0</v>
      </c>
      <c r="BK8" s="599">
        <f t="shared" si="82"/>
        <v>0</v>
      </c>
      <c r="BL8" s="599">
        <f t="shared" si="83"/>
        <v>0</v>
      </c>
      <c r="BM8" s="795">
        <f t="shared" si="84"/>
        <v>0</v>
      </c>
      <c r="BN8" s="802">
        <f t="shared" si="139"/>
        <v>3</v>
      </c>
      <c r="BO8" s="371">
        <f t="shared" si="86"/>
        <v>0</v>
      </c>
      <c r="BP8" s="371">
        <f t="shared" si="86"/>
        <v>1</v>
      </c>
      <c r="BQ8" s="371" t="str">
        <f t="shared" si="86"/>
        <v/>
      </c>
      <c r="BR8" s="371" t="str">
        <f t="shared" si="86"/>
        <v/>
      </c>
      <c r="BS8" s="371" t="str">
        <f t="shared" si="86"/>
        <v/>
      </c>
      <c r="BT8" s="371" t="str">
        <f t="shared" si="86"/>
        <v/>
      </c>
      <c r="BU8" s="371" t="str">
        <f t="shared" si="86"/>
        <v/>
      </c>
      <c r="BV8" s="371" t="str">
        <f t="shared" si="86"/>
        <v/>
      </c>
      <c r="BW8" s="371" t="str">
        <f t="shared" si="86"/>
        <v/>
      </c>
      <c r="BX8" s="371" t="str">
        <f t="shared" si="86"/>
        <v/>
      </c>
      <c r="BY8" s="371" t="str">
        <f t="shared" si="87"/>
        <v/>
      </c>
      <c r="BZ8" s="371" t="str">
        <f t="shared" si="87"/>
        <v/>
      </c>
      <c r="CA8" s="371" t="str">
        <f t="shared" si="87"/>
        <v/>
      </c>
      <c r="CB8" s="371" t="str">
        <f t="shared" si="87"/>
        <v/>
      </c>
      <c r="CC8" s="371" t="str">
        <f t="shared" si="87"/>
        <v/>
      </c>
      <c r="CD8" s="371" t="str">
        <f t="shared" si="87"/>
        <v/>
      </c>
      <c r="CE8" s="371" t="str">
        <f t="shared" si="87"/>
        <v/>
      </c>
      <c r="CF8" s="799" t="str">
        <f t="shared" si="87"/>
        <v/>
      </c>
      <c r="CG8" s="807" t="str">
        <f t="shared" si="88"/>
        <v>B, ML above</v>
      </c>
      <c r="CH8" s="595" t="str">
        <f t="shared" si="89"/>
        <v>TOP</v>
      </c>
      <c r="CI8" s="595" t="str">
        <f t="shared" si="90"/>
        <v/>
      </c>
      <c r="CJ8" s="595" t="str">
        <f t="shared" si="91"/>
        <v/>
      </c>
      <c r="CK8" s="595" t="str">
        <f t="shared" si="92"/>
        <v/>
      </c>
      <c r="CL8" s="595" t="str">
        <f t="shared" si="93"/>
        <v/>
      </c>
      <c r="CM8" s="595" t="str">
        <f t="shared" si="94"/>
        <v/>
      </c>
      <c r="CN8" s="595" t="str">
        <f t="shared" si="95"/>
        <v/>
      </c>
      <c r="CO8" s="595" t="str">
        <f t="shared" si="96"/>
        <v/>
      </c>
      <c r="CP8" s="595" t="str">
        <f t="shared" si="97"/>
        <v/>
      </c>
      <c r="CQ8" s="595" t="str">
        <f t="shared" si="98"/>
        <v/>
      </c>
      <c r="CR8" s="595" t="str">
        <f t="shared" si="99"/>
        <v/>
      </c>
      <c r="CS8" s="595" t="str">
        <f t="shared" si="100"/>
        <v/>
      </c>
      <c r="CT8" s="595" t="str">
        <f t="shared" si="101"/>
        <v/>
      </c>
      <c r="CU8" s="595" t="str">
        <f t="shared" si="102"/>
        <v/>
      </c>
      <c r="CV8" s="595" t="str">
        <f t="shared" si="103"/>
        <v/>
      </c>
      <c r="CW8" s="595" t="str">
        <f t="shared" si="104"/>
        <v/>
      </c>
      <c r="CX8" s="808" t="str">
        <f t="shared" si="105"/>
        <v/>
      </c>
      <c r="CY8" s="816">
        <f>IF(VLOOKUP(A8,'TIS Site Config'!$A$4:$AQ$51,6,FALSE)="Non-heated",COUNTIF($CG8:$CX8,$DT$3),0)</f>
        <v>0</v>
      </c>
      <c r="CZ8" s="596">
        <f>IF(OR(VLOOKUP(A8,'TIS Site Config'!$A$4:$AQ$51,6,FALSE)="Heated",VLOOKUP(A8,'TIS Site Config'!$A$4:$AQ$51,6,FALSE)="Extreme Heated"),COUNTIF($CG8:$CX8,$DT$3),0)</f>
        <v>0</v>
      </c>
      <c r="DA8" s="596">
        <f>IF(VLOOKUP(A8,'TIS Site Config'!$A$4:$AQ$51,6,FALSE)="Non-heated",COUNTIF($CG8:$CX8,$DU$3),0)</f>
        <v>0</v>
      </c>
      <c r="DB8" s="596">
        <f>IF(OR(VLOOKUP(A8,'TIS Site Config'!$A$4:$AQ$51,6,FALSE)="Heated",VLOOKUP(A8,'TIS Site Config'!$A$4:$AQ$51,6,FALSE)="Extreme heated"),COUNTIF($CG8:$CX8,$DU$3),0)</f>
        <v>1</v>
      </c>
      <c r="DC8" s="596">
        <f>IF(VLOOKUP(A8,'TIS Site Config'!$A$4:$AQ$51,6,FALSE)="Non-heated",COUNTIF($CG8:$CX8,$DW$3),0)</f>
        <v>0</v>
      </c>
      <c r="DD8" s="596">
        <f>IF(OR(VLOOKUP(A8,'TIS Site Config'!$A$4:$AQ$51,6,FALSE)="Heated",VLOOKUP(A8,'TIS Site Config'!$A$4:$AQ$51,6,FALSE)="Extreme heated"),COUNTIF($CG8:$CX8,$DW$3),0)</f>
        <v>0</v>
      </c>
      <c r="DE8" s="596">
        <f t="shared" si="132"/>
        <v>0</v>
      </c>
      <c r="DF8" s="596">
        <f>IF(VLOOKUP(A8,'TIS Site Config'!$A$4:$AQ$51,6,FALSE)="Non-heated",COUNTIF($CG8:$CX8,$DX$3),0)</f>
        <v>0</v>
      </c>
      <c r="DG8" s="596">
        <f>IF(OR(VLOOKUP(A8,'TIS Site Config'!$A$4:$AQ$51,6,FALSE)="Heated",VLOOKUP(A8,'TIS Site Config'!$A$4:$AQ$51,6,FALSE)="Extreme heated"),COUNTIF($CG8:$CX8,$DX$3),0)</f>
        <v>1</v>
      </c>
      <c r="DH8" s="817"/>
      <c r="DI8" s="791">
        <f t="shared" si="133"/>
        <v>0</v>
      </c>
      <c r="DJ8" s="365">
        <f t="shared" si="134"/>
        <v>0</v>
      </c>
      <c r="DK8" s="365">
        <f t="shared" si="135"/>
        <v>3</v>
      </c>
      <c r="DL8" s="376">
        <v>1</v>
      </c>
      <c r="DM8" s="609">
        <f t="shared" si="106"/>
        <v>4</v>
      </c>
      <c r="DN8" s="883">
        <f t="shared" si="136"/>
        <v>0</v>
      </c>
      <c r="DO8" s="593">
        <f t="shared" si="107"/>
        <v>1</v>
      </c>
      <c r="DP8" s="593">
        <f t="shared" si="108"/>
        <v>1</v>
      </c>
      <c r="DR8" s="504">
        <f t="shared" si="109"/>
        <v>2</v>
      </c>
      <c r="DS8" s="504">
        <f t="shared" si="110"/>
        <v>0</v>
      </c>
      <c r="DT8" s="504">
        <f t="shared" si="111"/>
        <v>0</v>
      </c>
      <c r="DZ8" s="794">
        <f t="shared" si="137"/>
        <v>-4.8302910999761389E-2</v>
      </c>
      <c r="EA8" s="599">
        <f t="shared" si="112"/>
        <v>0.24995526127415893</v>
      </c>
      <c r="EB8" s="599">
        <f t="shared" si="113"/>
        <v>0.78681997136721549</v>
      </c>
      <c r="EC8" s="599">
        <f t="shared" si="114"/>
        <v>2</v>
      </c>
      <c r="ED8" s="599">
        <f t="shared" si="115"/>
        <v>100</v>
      </c>
      <c r="EE8" s="599">
        <f t="shared" si="116"/>
        <v>100</v>
      </c>
      <c r="EF8" s="599">
        <f t="shared" si="117"/>
        <v>100</v>
      </c>
      <c r="EG8" s="795">
        <f t="shared" si="118"/>
        <v>100</v>
      </c>
      <c r="EH8" s="1054">
        <f t="shared" si="119"/>
        <v>100</v>
      </c>
      <c r="EI8" s="1054">
        <f t="shared" si="120"/>
        <v>100</v>
      </c>
      <c r="EJ8" s="1054">
        <f t="shared" si="121"/>
        <v>100</v>
      </c>
      <c r="EK8" s="1054">
        <f t="shared" si="122"/>
        <v>100</v>
      </c>
      <c r="EL8" s="1054">
        <f t="shared" si="123"/>
        <v>2</v>
      </c>
      <c r="EM8" s="1054">
        <f t="shared" si="124"/>
        <v>0.78681997136721549</v>
      </c>
      <c r="EN8" s="1054">
        <f t="shared" si="125"/>
        <v>0.24995526127415893</v>
      </c>
      <c r="EO8" s="1054">
        <f t="shared" si="126"/>
        <v>-4.8302910999761389E-2</v>
      </c>
      <c r="EP8" s="1066" t="str">
        <f t="shared" si="127"/>
        <v>ML3.5</v>
      </c>
      <c r="EQ8" s="794"/>
      <c r="ER8" s="795" t="str">
        <f t="shared" si="128"/>
        <v>ML1</v>
      </c>
      <c r="ES8" s="795" t="str">
        <f t="shared" si="138"/>
        <v>ML3.5</v>
      </c>
    </row>
    <row r="9" spans="1:152" s="504" customFormat="1" x14ac:dyDescent="0.25">
      <c r="A9" s="584" t="s">
        <v>22</v>
      </c>
      <c r="B9" s="930" t="str">
        <f>VLOOKUP($A9,'TIS Site Config'!$A$3:$AQ$51,2,FALSE)</f>
        <v>D03</v>
      </c>
      <c r="C9" s="934" t="str">
        <f>IF(VLOOKUP($A9,'TIS Site Config'!$A$3:$AQ$51,3,FALSE)&lt;&gt;"",
              VLOOKUP($A9,'TIS Site Config'!$A$3:$AQ$51,3,FALSE),"")</f>
        <v>0-FY13</v>
      </c>
      <c r="D9" s="931" t="str">
        <f>VLOOKUP($A9,'TIS Site Config'!$A$3:$AQ$51,4,FALSE)</f>
        <v>Ordway-Swisher Biological Station</v>
      </c>
      <c r="E9" s="784">
        <f t="shared" si="129"/>
        <v>6</v>
      </c>
      <c r="F9" s="864"/>
      <c r="G9" s="831">
        <v>0.3</v>
      </c>
      <c r="H9" s="831">
        <v>2.2999999999999998</v>
      </c>
      <c r="I9" s="831">
        <v>9</v>
      </c>
      <c r="J9" s="831">
        <v>14</v>
      </c>
      <c r="K9" s="831">
        <v>25</v>
      </c>
      <c r="L9" s="831">
        <v>33</v>
      </c>
      <c r="M9" s="597"/>
      <c r="N9" s="826"/>
      <c r="O9" s="613">
        <v>116</v>
      </c>
      <c r="P9" s="614" t="s">
        <v>138</v>
      </c>
      <c r="Q9" s="770">
        <f t="shared" si="130"/>
        <v>10</v>
      </c>
      <c r="R9" s="611">
        <v>1</v>
      </c>
      <c r="S9" s="611"/>
      <c r="T9" s="368" t="s">
        <v>203</v>
      </c>
      <c r="U9" s="368" t="s">
        <v>203</v>
      </c>
      <c r="V9" s="368" t="s">
        <v>203</v>
      </c>
      <c r="W9" s="368" t="s">
        <v>203</v>
      </c>
      <c r="X9" s="368" t="s">
        <v>203</v>
      </c>
      <c r="Y9" s="368" t="s">
        <v>203</v>
      </c>
      <c r="Z9" s="368" t="s">
        <v>203</v>
      </c>
      <c r="AA9" s="368" t="s">
        <v>203</v>
      </c>
      <c r="AB9" s="368" t="s">
        <v>203</v>
      </c>
      <c r="AC9" s="368" t="s">
        <v>203</v>
      </c>
      <c r="AD9" s="368"/>
      <c r="AE9" s="368"/>
      <c r="AF9" s="368"/>
      <c r="AG9" s="368"/>
      <c r="AH9" s="368"/>
      <c r="AI9" s="368"/>
      <c r="AJ9" s="368"/>
      <c r="AK9" s="602"/>
      <c r="AL9" s="819">
        <v>4</v>
      </c>
      <c r="AM9" s="773">
        <f t="shared" si="131"/>
        <v>26.5</v>
      </c>
      <c r="AN9" s="597">
        <v>26.5</v>
      </c>
      <c r="AO9" s="787">
        <f t="shared" si="76"/>
        <v>2.125</v>
      </c>
      <c r="AP9" s="838">
        <v>0.3</v>
      </c>
      <c r="AQ9" s="839">
        <v>2.2999999999999998</v>
      </c>
      <c r="AR9" s="839">
        <v>9</v>
      </c>
      <c r="AS9" s="839">
        <v>14</v>
      </c>
      <c r="AT9" s="839">
        <v>25</v>
      </c>
      <c r="AU9" s="839">
        <v>33</v>
      </c>
      <c r="AV9" s="839"/>
      <c r="AW9" s="840"/>
      <c r="AX9" s="860">
        <v>0.3</v>
      </c>
      <c r="AY9" s="852">
        <v>2.2999999999999998</v>
      </c>
      <c r="AZ9" s="852">
        <v>9</v>
      </c>
      <c r="BA9" s="852">
        <v>14</v>
      </c>
      <c r="BB9" s="852">
        <v>25</v>
      </c>
      <c r="BC9" s="852">
        <v>33</v>
      </c>
      <c r="BD9" s="852">
        <v>0</v>
      </c>
      <c r="BE9" s="853">
        <v>0</v>
      </c>
      <c r="BF9" s="835">
        <f t="shared" si="77"/>
        <v>-0.10370436649964208</v>
      </c>
      <c r="BG9" s="836">
        <f t="shared" si="78"/>
        <v>0.49281197804819854</v>
      </c>
      <c r="BH9" s="836">
        <f t="shared" si="79"/>
        <v>2.4911417322834648</v>
      </c>
      <c r="BI9" s="836">
        <f t="shared" si="80"/>
        <v>3.982432593653066</v>
      </c>
      <c r="BJ9" s="836">
        <f t="shared" si="81"/>
        <v>7.263272488666189</v>
      </c>
      <c r="BK9" s="836">
        <f t="shared" si="82"/>
        <v>10</v>
      </c>
      <c r="BL9" s="836">
        <f t="shared" si="83"/>
        <v>0</v>
      </c>
      <c r="BM9" s="837">
        <f t="shared" si="84"/>
        <v>0</v>
      </c>
      <c r="BN9" s="800">
        <f t="shared" si="139"/>
        <v>2</v>
      </c>
      <c r="BO9" s="368">
        <f t="shared" si="86"/>
        <v>0</v>
      </c>
      <c r="BP9" s="368">
        <f t="shared" si="86"/>
        <v>1</v>
      </c>
      <c r="BQ9" s="368">
        <f t="shared" si="86"/>
        <v>1</v>
      </c>
      <c r="BR9" s="368">
        <f t="shared" si="86"/>
        <v>0</v>
      </c>
      <c r="BS9" s="368">
        <f t="shared" si="86"/>
        <v>0</v>
      </c>
      <c r="BT9" s="368">
        <f t="shared" si="86"/>
        <v>0</v>
      </c>
      <c r="BU9" s="368">
        <f t="shared" si="86"/>
        <v>1</v>
      </c>
      <c r="BV9" s="368">
        <f t="shared" si="86"/>
        <v>0</v>
      </c>
      <c r="BW9" s="368">
        <f t="shared" si="86"/>
        <v>0</v>
      </c>
      <c r="BX9" s="368">
        <f t="shared" si="86"/>
        <v>1</v>
      </c>
      <c r="BY9" s="368" t="str">
        <f t="shared" si="87"/>
        <v/>
      </c>
      <c r="BZ9" s="368" t="str">
        <f t="shared" si="87"/>
        <v/>
      </c>
      <c r="CA9" s="368" t="str">
        <f t="shared" si="87"/>
        <v/>
      </c>
      <c r="CB9" s="368" t="str">
        <f t="shared" si="87"/>
        <v/>
      </c>
      <c r="CC9" s="368" t="str">
        <f t="shared" si="87"/>
        <v/>
      </c>
      <c r="CD9" s="368" t="str">
        <f t="shared" si="87"/>
        <v/>
      </c>
      <c r="CE9" s="368" t="str">
        <f t="shared" si="87"/>
        <v/>
      </c>
      <c r="CF9" s="797" t="str">
        <f t="shared" si="87"/>
        <v/>
      </c>
      <c r="CG9" s="803" t="str">
        <f t="shared" si="88"/>
        <v>B, p-thru above</v>
      </c>
      <c r="CH9" s="591" t="str">
        <f t="shared" si="89"/>
        <v>ML</v>
      </c>
      <c r="CI9" s="591" t="str">
        <f t="shared" si="90"/>
        <v>ML</v>
      </c>
      <c r="CJ9" s="591" t="str">
        <f t="shared" si="91"/>
        <v>p-thru</v>
      </c>
      <c r="CK9" s="591" t="str">
        <f t="shared" si="92"/>
        <v>p-thru</v>
      </c>
      <c r="CL9" s="591" t="str">
        <f t="shared" si="93"/>
        <v>p-thru</v>
      </c>
      <c r="CM9" s="591" t="str">
        <f t="shared" si="94"/>
        <v>ML</v>
      </c>
      <c r="CN9" s="591" t="str">
        <f t="shared" si="95"/>
        <v>p-thru</v>
      </c>
      <c r="CO9" s="591" t="str">
        <f t="shared" si="96"/>
        <v>p-thru</v>
      </c>
      <c r="CP9" s="591" t="str">
        <f t="shared" si="97"/>
        <v>TOP</v>
      </c>
      <c r="CQ9" s="591" t="str">
        <f t="shared" si="98"/>
        <v/>
      </c>
      <c r="CR9" s="591" t="str">
        <f t="shared" si="99"/>
        <v/>
      </c>
      <c r="CS9" s="591" t="str">
        <f t="shared" si="100"/>
        <v/>
      </c>
      <c r="CT9" s="591" t="str">
        <f t="shared" si="101"/>
        <v/>
      </c>
      <c r="CU9" s="591" t="str">
        <f t="shared" si="102"/>
        <v/>
      </c>
      <c r="CV9" s="591" t="str">
        <f t="shared" si="103"/>
        <v/>
      </c>
      <c r="CW9" s="591" t="str">
        <f t="shared" si="104"/>
        <v/>
      </c>
      <c r="CX9" s="804" t="str">
        <f t="shared" si="105"/>
        <v/>
      </c>
      <c r="CY9" s="813">
        <f>IF(VLOOKUP(A9,'TIS Site Config'!$A$4:$AQ$51,6,FALSE)="Non-heated",COUNTIF($CG9:$CX9,$DT$3),0)</f>
        <v>1</v>
      </c>
      <c r="CZ9" s="592">
        <f>IF(OR(VLOOKUP(A9,'TIS Site Config'!$A$4:$AQ$51,6,FALSE)="Heated",VLOOKUP(A9,'TIS Site Config'!$A$4:$AQ$51,6,FALSE)="Extreme Heated"),COUNTIF($CG9:$CX9,$DT$3),0)</f>
        <v>0</v>
      </c>
      <c r="DA9" s="592">
        <f>IF(VLOOKUP(A9,'TIS Site Config'!$A$4:$AQ$51,6,FALSE)="Non-heated",COUNTIF($CG9:$CX9,$DU$3),0)</f>
        <v>0</v>
      </c>
      <c r="DB9" s="592">
        <f>IF(OR(VLOOKUP(A9,'TIS Site Config'!$A$4:$AQ$51,6,FALSE)="Heated",VLOOKUP(A9,'TIS Site Config'!$A$4:$AQ$51,6,FALSE)="Extreme heated"),COUNTIF($CG9:$CX9,$DU$3),0)</f>
        <v>0</v>
      </c>
      <c r="DC9" s="592">
        <f>IF(VLOOKUP(A9,'TIS Site Config'!$A$4:$AQ$51,6,FALSE)="Non-heated",COUNTIF($CG9:$CX9,$DW$3),0)</f>
        <v>3</v>
      </c>
      <c r="DD9" s="592">
        <f>IF(OR(VLOOKUP(A9,'TIS Site Config'!$A$4:$AQ$51,6,FALSE)="Heated",VLOOKUP(A9,'TIS Site Config'!$A$4:$AQ$51,6,FALSE)="Extreme heated"),COUNTIF($CG9:$CX9,$DW$3),0)</f>
        <v>0</v>
      </c>
      <c r="DE9" s="592">
        <f t="shared" si="132"/>
        <v>5</v>
      </c>
      <c r="DF9" s="592">
        <f>IF(VLOOKUP(A9,'TIS Site Config'!$A$4:$AQ$51,6,FALSE)="Non-heated",COUNTIF($CG9:$CX9,$DX$3),0)</f>
        <v>1</v>
      </c>
      <c r="DG9" s="592">
        <f>IF(OR(VLOOKUP(A9,'TIS Site Config'!$A$4:$AQ$51,6,FALSE)="Heated",VLOOKUP(A9,'TIS Site Config'!$A$4:$AQ$51,6,FALSE)="Extreme heated"),COUNTIF($CG9:$CX9,$DX$3),0)</f>
        <v>0</v>
      </c>
      <c r="DH9" s="814"/>
      <c r="DI9" s="810">
        <f t="shared" si="133"/>
        <v>0</v>
      </c>
      <c r="DJ9" s="355">
        <f t="shared" si="134"/>
        <v>0</v>
      </c>
      <c r="DK9" s="355">
        <f t="shared" si="135"/>
        <v>5</v>
      </c>
      <c r="DL9" s="603">
        <v>1</v>
      </c>
      <c r="DM9" s="604">
        <f t="shared" si="106"/>
        <v>6</v>
      </c>
      <c r="DN9" s="883">
        <f t="shared" si="136"/>
        <v>0</v>
      </c>
      <c r="DO9" s="593">
        <f t="shared" si="107"/>
        <v>1</v>
      </c>
      <c r="DP9" s="593">
        <f t="shared" si="108"/>
        <v>3</v>
      </c>
      <c r="DR9" s="504">
        <f t="shared" si="109"/>
        <v>10</v>
      </c>
      <c r="DS9" s="504">
        <f t="shared" si="110"/>
        <v>0</v>
      </c>
      <c r="DT9" s="504">
        <f t="shared" si="111"/>
        <v>0</v>
      </c>
      <c r="DZ9" s="835">
        <f t="shared" si="137"/>
        <v>-0.10370436649964208</v>
      </c>
      <c r="EA9" s="836">
        <f t="shared" si="112"/>
        <v>0.49281197804819854</v>
      </c>
      <c r="EB9" s="836">
        <f t="shared" si="113"/>
        <v>2.4911417322834648</v>
      </c>
      <c r="EC9" s="836">
        <f t="shared" si="114"/>
        <v>3.982432593653066</v>
      </c>
      <c r="ED9" s="836">
        <f t="shared" si="115"/>
        <v>7.263272488666189</v>
      </c>
      <c r="EE9" s="836">
        <f t="shared" si="116"/>
        <v>10</v>
      </c>
      <c r="EF9" s="836">
        <f t="shared" si="117"/>
        <v>100</v>
      </c>
      <c r="EG9" s="837">
        <f t="shared" si="118"/>
        <v>100</v>
      </c>
      <c r="EH9" s="1053">
        <f t="shared" si="119"/>
        <v>100</v>
      </c>
      <c r="EI9" s="1053">
        <f t="shared" si="120"/>
        <v>100</v>
      </c>
      <c r="EJ9" s="1053">
        <f t="shared" si="121"/>
        <v>10</v>
      </c>
      <c r="EK9" s="1053">
        <f t="shared" si="122"/>
        <v>7.263272488666189</v>
      </c>
      <c r="EL9" s="1053">
        <f t="shared" si="123"/>
        <v>3.982432593653066</v>
      </c>
      <c r="EM9" s="1053">
        <f t="shared" si="124"/>
        <v>2.4911417322834648</v>
      </c>
      <c r="EN9" s="1053">
        <f t="shared" si="125"/>
        <v>0.49281197804819854</v>
      </c>
      <c r="EO9" s="1053">
        <f t="shared" si="126"/>
        <v>-0.10370436649964208</v>
      </c>
      <c r="EP9" s="1065" t="str">
        <f t="shared" si="127"/>
        <v>ML2.5</v>
      </c>
      <c r="EQ9" s="835"/>
      <c r="ER9" s="837" t="str">
        <f t="shared" si="128"/>
        <v>ML1</v>
      </c>
      <c r="ES9" s="837" t="str">
        <f t="shared" si="138"/>
        <v>ML5.5</v>
      </c>
    </row>
    <row r="10" spans="1:152" s="504" customFormat="1" x14ac:dyDescent="0.25">
      <c r="A10" s="514" t="s">
        <v>132</v>
      </c>
      <c r="B10" s="757" t="str">
        <f>VLOOKUP($A10,'TIS Site Config'!$A$3:$AQ$51,2,FALSE)</f>
        <v>D03</v>
      </c>
      <c r="C10" s="753" t="str">
        <f>IF(VLOOKUP($A10,'TIS Site Config'!$A$3:$AQ$51,3,FALSE)&lt;&gt;"",
              VLOOKUP($A10,'TIS Site Config'!$A$3:$AQ$51,3,FALSE),"")</f>
        <v>1-FY14</v>
      </c>
      <c r="D10" s="932" t="str">
        <f>VLOOKUP($A10,'TIS Site Config'!$A$3:$AQ$51,4,FALSE)</f>
        <v>Disney Wilderness Preserve</v>
      </c>
      <c r="E10" s="784">
        <f t="shared" si="129"/>
        <v>4</v>
      </c>
      <c r="F10" s="864"/>
      <c r="G10" s="506">
        <v>0.3</v>
      </c>
      <c r="H10" s="506">
        <v>1.5</v>
      </c>
      <c r="I10" s="506">
        <v>4</v>
      </c>
      <c r="J10" s="506">
        <v>6</v>
      </c>
      <c r="K10" s="506"/>
      <c r="L10" s="506"/>
      <c r="M10" s="506"/>
      <c r="N10" s="507"/>
      <c r="O10" s="615">
        <v>26</v>
      </c>
      <c r="P10" s="616" t="s">
        <v>139</v>
      </c>
      <c r="Q10" s="770">
        <f t="shared" si="130"/>
        <v>2</v>
      </c>
      <c r="R10" s="611">
        <v>1</v>
      </c>
      <c r="S10" s="611"/>
      <c r="T10" s="366" t="s">
        <v>203</v>
      </c>
      <c r="U10" s="366" t="s">
        <v>203</v>
      </c>
      <c r="V10" s="366"/>
      <c r="W10" s="366"/>
      <c r="X10" s="366"/>
      <c r="Y10" s="366"/>
      <c r="Z10" s="366"/>
      <c r="AA10" s="366"/>
      <c r="AB10" s="366"/>
      <c r="AC10" s="366"/>
      <c r="AD10" s="366"/>
      <c r="AE10" s="366"/>
      <c r="AF10" s="366"/>
      <c r="AG10" s="366"/>
      <c r="AH10" s="366"/>
      <c r="AI10" s="366"/>
      <c r="AJ10" s="366"/>
      <c r="AK10" s="605"/>
      <c r="AL10" s="508">
        <v>9</v>
      </c>
      <c r="AM10" s="773">
        <f t="shared" si="131"/>
        <v>14</v>
      </c>
      <c r="AN10" s="506">
        <v>15.25</v>
      </c>
      <c r="AO10" s="787">
        <f t="shared" si="76"/>
        <v>1.1875</v>
      </c>
      <c r="AP10" s="841">
        <v>0.3</v>
      </c>
      <c r="AQ10" s="842">
        <v>1.5</v>
      </c>
      <c r="AR10" s="842">
        <v>4</v>
      </c>
      <c r="AS10" s="842">
        <v>6</v>
      </c>
      <c r="AT10" s="842"/>
      <c r="AU10" s="842"/>
      <c r="AV10" s="842"/>
      <c r="AW10" s="843"/>
      <c r="AX10" s="854">
        <v>0.3</v>
      </c>
      <c r="AY10" s="855">
        <v>1.5</v>
      </c>
      <c r="AZ10" s="855">
        <v>4</v>
      </c>
      <c r="BA10" s="855">
        <v>6</v>
      </c>
      <c r="BB10" s="855">
        <v>0</v>
      </c>
      <c r="BC10" s="855">
        <v>0</v>
      </c>
      <c r="BD10" s="855">
        <v>0</v>
      </c>
      <c r="BE10" s="856">
        <v>0</v>
      </c>
      <c r="BF10" s="792">
        <f t="shared" si="77"/>
        <v>-1.8477093772369359E-2</v>
      </c>
      <c r="BG10" s="598">
        <f t="shared" si="78"/>
        <v>0.33943271295633504</v>
      </c>
      <c r="BH10" s="598">
        <f t="shared" si="79"/>
        <v>1.0850781436411359</v>
      </c>
      <c r="BI10" s="598">
        <f t="shared" si="80"/>
        <v>2</v>
      </c>
      <c r="BJ10" s="598">
        <f t="shared" si="81"/>
        <v>0</v>
      </c>
      <c r="BK10" s="598">
        <f t="shared" si="82"/>
        <v>0</v>
      </c>
      <c r="BL10" s="598">
        <f t="shared" si="83"/>
        <v>0</v>
      </c>
      <c r="BM10" s="793">
        <f t="shared" si="84"/>
        <v>0</v>
      </c>
      <c r="BN10" s="801">
        <f t="shared" si="139"/>
        <v>2</v>
      </c>
      <c r="BO10" s="366">
        <f t="shared" si="86"/>
        <v>1</v>
      </c>
      <c r="BP10" s="366">
        <f t="shared" si="86"/>
        <v>1</v>
      </c>
      <c r="BQ10" s="366" t="str">
        <f t="shared" si="86"/>
        <v/>
      </c>
      <c r="BR10" s="366" t="str">
        <f t="shared" si="86"/>
        <v/>
      </c>
      <c r="BS10" s="366" t="str">
        <f t="shared" si="86"/>
        <v/>
      </c>
      <c r="BT10" s="366" t="str">
        <f t="shared" si="86"/>
        <v/>
      </c>
      <c r="BU10" s="366" t="str">
        <f t="shared" si="86"/>
        <v/>
      </c>
      <c r="BV10" s="366" t="str">
        <f t="shared" si="86"/>
        <v/>
      </c>
      <c r="BW10" s="366" t="str">
        <f t="shared" si="86"/>
        <v/>
      </c>
      <c r="BX10" s="366" t="str">
        <f t="shared" si="86"/>
        <v/>
      </c>
      <c r="BY10" s="366" t="str">
        <f t="shared" si="87"/>
        <v/>
      </c>
      <c r="BZ10" s="366" t="str">
        <f t="shared" si="87"/>
        <v/>
      </c>
      <c r="CA10" s="366" t="str">
        <f t="shared" si="87"/>
        <v/>
      </c>
      <c r="CB10" s="366" t="str">
        <f t="shared" si="87"/>
        <v/>
      </c>
      <c r="CC10" s="366" t="str">
        <f t="shared" si="87"/>
        <v/>
      </c>
      <c r="CD10" s="366" t="str">
        <f t="shared" si="87"/>
        <v/>
      </c>
      <c r="CE10" s="366" t="str">
        <f t="shared" si="87"/>
        <v/>
      </c>
      <c r="CF10" s="798" t="str">
        <f t="shared" si="87"/>
        <v/>
      </c>
      <c r="CG10" s="805" t="str">
        <f t="shared" si="88"/>
        <v>B, ML above</v>
      </c>
      <c r="CH10" s="594" t="str">
        <f t="shared" si="89"/>
        <v>TOP</v>
      </c>
      <c r="CI10" s="594" t="str">
        <f t="shared" si="90"/>
        <v/>
      </c>
      <c r="CJ10" s="594" t="str">
        <f t="shared" si="91"/>
        <v/>
      </c>
      <c r="CK10" s="594" t="str">
        <f t="shared" si="92"/>
        <v/>
      </c>
      <c r="CL10" s="594" t="str">
        <f t="shared" si="93"/>
        <v/>
      </c>
      <c r="CM10" s="594" t="str">
        <f t="shared" si="94"/>
        <v/>
      </c>
      <c r="CN10" s="594" t="str">
        <f t="shared" si="95"/>
        <v/>
      </c>
      <c r="CO10" s="594" t="str">
        <f t="shared" si="96"/>
        <v/>
      </c>
      <c r="CP10" s="594" t="str">
        <f t="shared" si="97"/>
        <v/>
      </c>
      <c r="CQ10" s="594" t="str">
        <f t="shared" si="98"/>
        <v/>
      </c>
      <c r="CR10" s="594" t="str">
        <f t="shared" si="99"/>
        <v/>
      </c>
      <c r="CS10" s="594" t="str">
        <f t="shared" si="100"/>
        <v/>
      </c>
      <c r="CT10" s="594" t="str">
        <f t="shared" si="101"/>
        <v/>
      </c>
      <c r="CU10" s="594" t="str">
        <f t="shared" si="102"/>
        <v/>
      </c>
      <c r="CV10" s="594" t="str">
        <f t="shared" si="103"/>
        <v/>
      </c>
      <c r="CW10" s="594" t="str">
        <f t="shared" si="104"/>
        <v/>
      </c>
      <c r="CX10" s="806" t="str">
        <f t="shared" si="105"/>
        <v/>
      </c>
      <c r="CY10" s="815">
        <f>IF(VLOOKUP(A10,'TIS Site Config'!$A$4:$AQ$51,6,FALSE)="Non-heated",COUNTIF($CG10:$CX10,$DT$3),0)</f>
        <v>0</v>
      </c>
      <c r="CZ10" s="738">
        <f>IF(OR(VLOOKUP(A10,'TIS Site Config'!$A$4:$AQ$51,6,FALSE)="Heated",VLOOKUP(A10,'TIS Site Config'!$A$4:$AQ$51,6,FALSE)="Extreme Heated"),COUNTIF($CG10:$CX10,$DT$3),0)</f>
        <v>0</v>
      </c>
      <c r="DA10" s="738">
        <f>IF(VLOOKUP(A10,'TIS Site Config'!$A$4:$AQ$51,6,FALSE)="Non-heated",COUNTIF($CG10:$CX10,$DU$3),0)</f>
        <v>1</v>
      </c>
      <c r="DB10" s="738">
        <f>IF(OR(VLOOKUP(A10,'TIS Site Config'!$A$4:$AQ$51,6,FALSE)="Heated",VLOOKUP(A10,'TIS Site Config'!$A$4:$AQ$51,6,FALSE)="Extreme heated"),COUNTIF($CG10:$CX10,$DU$3),0)</f>
        <v>0</v>
      </c>
      <c r="DC10" s="738">
        <f>IF(VLOOKUP(A10,'TIS Site Config'!$A$4:$AQ$51,6,FALSE)="Non-heated",COUNTIF($CG10:$CX10,$DW$3),0)</f>
        <v>0</v>
      </c>
      <c r="DD10" s="738">
        <f>IF(OR(VLOOKUP(A10,'TIS Site Config'!$A$4:$AQ$51,6,FALSE)="Heated",VLOOKUP(A10,'TIS Site Config'!$A$4:$AQ$51,6,FALSE)="Extreme heated"),COUNTIF($CG10:$CX10,$DW$3),0)</f>
        <v>0</v>
      </c>
      <c r="DE10" s="738">
        <f t="shared" si="132"/>
        <v>0</v>
      </c>
      <c r="DF10" s="738">
        <f>IF(VLOOKUP(A10,'TIS Site Config'!$A$4:$AQ$51,6,FALSE)="Non-heated",COUNTIF($CG10:$CX10,$DX$3),0)</f>
        <v>1</v>
      </c>
      <c r="DG10" s="738">
        <f>IF(OR(VLOOKUP(A10,'TIS Site Config'!$A$4:$AQ$51,6,FALSE)="Heated",VLOOKUP(A10,'TIS Site Config'!$A$4:$AQ$51,6,FALSE)="Extreme heated"),COUNTIF($CG10:$CX10,$DX$3),0)</f>
        <v>0</v>
      </c>
      <c r="DH10" s="812"/>
      <c r="DI10" s="790">
        <f t="shared" si="133"/>
        <v>0</v>
      </c>
      <c r="DJ10" s="357">
        <f t="shared" si="134"/>
        <v>0</v>
      </c>
      <c r="DK10" s="357">
        <f t="shared" si="135"/>
        <v>3</v>
      </c>
      <c r="DL10" s="606">
        <v>1</v>
      </c>
      <c r="DM10" s="607">
        <f t="shared" si="106"/>
        <v>4</v>
      </c>
      <c r="DN10" s="883">
        <f t="shared" si="136"/>
        <v>0</v>
      </c>
      <c r="DO10" s="593">
        <f t="shared" si="107"/>
        <v>1</v>
      </c>
      <c r="DP10" s="593">
        <f t="shared" si="108"/>
        <v>2</v>
      </c>
      <c r="DR10" s="504">
        <f t="shared" si="109"/>
        <v>2</v>
      </c>
      <c r="DS10" s="504">
        <f t="shared" si="110"/>
        <v>0</v>
      </c>
      <c r="DT10" s="504">
        <f t="shared" si="111"/>
        <v>0</v>
      </c>
      <c r="DZ10" s="792">
        <f t="shared" si="137"/>
        <v>-1.8477093772369359E-2</v>
      </c>
      <c r="EA10" s="598">
        <f t="shared" si="112"/>
        <v>0.33943271295633504</v>
      </c>
      <c r="EB10" s="598">
        <f t="shared" si="113"/>
        <v>1.0850781436411359</v>
      </c>
      <c r="EC10" s="598">
        <f t="shared" si="114"/>
        <v>2</v>
      </c>
      <c r="ED10" s="598">
        <f t="shared" si="115"/>
        <v>100</v>
      </c>
      <c r="EE10" s="598">
        <f t="shared" si="116"/>
        <v>100</v>
      </c>
      <c r="EF10" s="598">
        <f t="shared" si="117"/>
        <v>100</v>
      </c>
      <c r="EG10" s="793">
        <f t="shared" si="118"/>
        <v>100</v>
      </c>
      <c r="EH10" s="1055">
        <f t="shared" si="119"/>
        <v>100</v>
      </c>
      <c r="EI10" s="1055">
        <f t="shared" si="120"/>
        <v>100</v>
      </c>
      <c r="EJ10" s="1055">
        <f t="shared" si="121"/>
        <v>100</v>
      </c>
      <c r="EK10" s="1055">
        <f t="shared" si="122"/>
        <v>100</v>
      </c>
      <c r="EL10" s="1055">
        <f t="shared" si="123"/>
        <v>2</v>
      </c>
      <c r="EM10" s="1055">
        <f t="shared" si="124"/>
        <v>1.0850781436411359</v>
      </c>
      <c r="EN10" s="1055">
        <f t="shared" si="125"/>
        <v>0.33943271295633504</v>
      </c>
      <c r="EO10" s="1055">
        <f t="shared" si="126"/>
        <v>-1.8477093772369359E-2</v>
      </c>
      <c r="EP10" s="1069" t="str">
        <f t="shared" si="127"/>
        <v>ML3.5</v>
      </c>
      <c r="EQ10" s="792"/>
      <c r="ER10" s="793" t="str">
        <f t="shared" si="128"/>
        <v>ML1</v>
      </c>
      <c r="ES10" s="793" t="str">
        <f t="shared" si="138"/>
        <v>ML3.5</v>
      </c>
    </row>
    <row r="11" spans="1:152" s="504" customFormat="1" ht="15.75" thickBot="1" x14ac:dyDescent="0.3">
      <c r="A11" s="377" t="s">
        <v>133</v>
      </c>
      <c r="B11" s="761" t="str">
        <f>VLOOKUP($A11,'TIS Site Config'!$A$3:$AQ$51,2,FALSE)</f>
        <v>D03</v>
      </c>
      <c r="C11" s="751" t="str">
        <f>IF(VLOOKUP($A11,'TIS Site Config'!$A$3:$AQ$51,3,FALSE)&lt;&gt;"",
              VLOOKUP($A11,'TIS Site Config'!$A$3:$AQ$51,3,FALSE),"")</f>
        <v>1-FY14</v>
      </c>
      <c r="D11" s="933" t="str">
        <f>VLOOKUP($A11,'TIS Site Config'!$A$3:$AQ$51,4,FALSE)</f>
        <v>Jones Ecological Research Center</v>
      </c>
      <c r="E11" s="785">
        <f t="shared" si="129"/>
        <v>6</v>
      </c>
      <c r="F11" s="865"/>
      <c r="G11" s="832">
        <v>0.2</v>
      </c>
      <c r="H11" s="832">
        <v>7</v>
      </c>
      <c r="I11" s="832">
        <v>16</v>
      </c>
      <c r="J11" s="832">
        <v>23</v>
      </c>
      <c r="K11" s="832">
        <v>29</v>
      </c>
      <c r="L11" s="832">
        <v>42</v>
      </c>
      <c r="M11" s="373"/>
      <c r="N11" s="374"/>
      <c r="O11" s="617">
        <v>138</v>
      </c>
      <c r="P11" s="618" t="s">
        <v>138</v>
      </c>
      <c r="Q11" s="771">
        <f t="shared" si="130"/>
        <v>12</v>
      </c>
      <c r="R11" s="612">
        <v>1</v>
      </c>
      <c r="S11" s="612"/>
      <c r="T11" s="371" t="s">
        <v>204</v>
      </c>
      <c r="U11" s="371" t="s">
        <v>204</v>
      </c>
      <c r="V11" s="371" t="s">
        <v>203</v>
      </c>
      <c r="W11" s="371" t="s">
        <v>203</v>
      </c>
      <c r="X11" s="371" t="s">
        <v>203</v>
      </c>
      <c r="Y11" s="371" t="s">
        <v>203</v>
      </c>
      <c r="Z11" s="371" t="s">
        <v>203</v>
      </c>
      <c r="AA11" s="371" t="s">
        <v>203</v>
      </c>
      <c r="AB11" s="371" t="s">
        <v>203</v>
      </c>
      <c r="AC11" s="371" t="s">
        <v>203</v>
      </c>
      <c r="AD11" s="371" t="s">
        <v>203</v>
      </c>
      <c r="AE11" s="371" t="s">
        <v>203</v>
      </c>
      <c r="AF11" s="371"/>
      <c r="AG11" s="371"/>
      <c r="AH11" s="371"/>
      <c r="AI11" s="371"/>
      <c r="AJ11" s="371"/>
      <c r="AK11" s="608"/>
      <c r="AL11" s="375">
        <v>6</v>
      </c>
      <c r="AM11" s="774">
        <f t="shared" si="131"/>
        <v>28.5</v>
      </c>
      <c r="AN11" s="373">
        <v>29.5</v>
      </c>
      <c r="AO11" s="788">
        <f t="shared" si="76"/>
        <v>2.375</v>
      </c>
      <c r="AP11" s="844">
        <v>0.2</v>
      </c>
      <c r="AQ11" s="845">
        <v>7</v>
      </c>
      <c r="AR11" s="845">
        <v>16</v>
      </c>
      <c r="AS11" s="845">
        <v>23</v>
      </c>
      <c r="AT11" s="845">
        <v>29</v>
      </c>
      <c r="AU11" s="845">
        <v>42</v>
      </c>
      <c r="AV11" s="845"/>
      <c r="AW11" s="846"/>
      <c r="AX11" s="857">
        <v>0.2</v>
      </c>
      <c r="AY11" s="858">
        <v>7</v>
      </c>
      <c r="AZ11" s="858">
        <v>16</v>
      </c>
      <c r="BA11" s="858">
        <v>23</v>
      </c>
      <c r="BB11" s="858">
        <v>29</v>
      </c>
      <c r="BC11" s="858">
        <v>42</v>
      </c>
      <c r="BD11" s="858">
        <v>0</v>
      </c>
      <c r="BE11" s="859">
        <v>0</v>
      </c>
      <c r="BF11" s="794">
        <f t="shared" si="77"/>
        <v>-0.15625745645430686</v>
      </c>
      <c r="BG11" s="599">
        <f t="shared" si="78"/>
        <v>1.8718981150083513</v>
      </c>
      <c r="BH11" s="599">
        <f t="shared" si="79"/>
        <v>4.5562216654736343</v>
      </c>
      <c r="BI11" s="599">
        <f t="shared" si="80"/>
        <v>6.6440288713910753</v>
      </c>
      <c r="BJ11" s="599">
        <f t="shared" si="81"/>
        <v>8.433577905034598</v>
      </c>
      <c r="BK11" s="599">
        <f t="shared" si="82"/>
        <v>12</v>
      </c>
      <c r="BL11" s="599">
        <f t="shared" si="83"/>
        <v>0</v>
      </c>
      <c r="BM11" s="795">
        <f t="shared" si="84"/>
        <v>0</v>
      </c>
      <c r="BN11" s="802">
        <f t="shared" si="139"/>
        <v>1</v>
      </c>
      <c r="BO11" s="371">
        <f t="shared" si="86"/>
        <v>1</v>
      </c>
      <c r="BP11" s="371">
        <f t="shared" si="86"/>
        <v>0</v>
      </c>
      <c r="BQ11" s="371">
        <f t="shared" si="86"/>
        <v>0</v>
      </c>
      <c r="BR11" s="371">
        <f t="shared" si="86"/>
        <v>1</v>
      </c>
      <c r="BS11" s="371">
        <f t="shared" si="86"/>
        <v>0</v>
      </c>
      <c r="BT11" s="371">
        <f t="shared" si="86"/>
        <v>1</v>
      </c>
      <c r="BU11" s="371">
        <f t="shared" si="86"/>
        <v>0</v>
      </c>
      <c r="BV11" s="371">
        <f t="shared" si="86"/>
        <v>1</v>
      </c>
      <c r="BW11" s="371">
        <f t="shared" si="86"/>
        <v>0</v>
      </c>
      <c r="BX11" s="371">
        <f t="shared" si="86"/>
        <v>0</v>
      </c>
      <c r="BY11" s="371">
        <f t="shared" si="87"/>
        <v>0</v>
      </c>
      <c r="BZ11" s="371">
        <f t="shared" si="87"/>
        <v>1</v>
      </c>
      <c r="CA11" s="371" t="str">
        <f t="shared" si="87"/>
        <v/>
      </c>
      <c r="CB11" s="371" t="str">
        <f t="shared" si="87"/>
        <v/>
      </c>
      <c r="CC11" s="371" t="str">
        <f t="shared" si="87"/>
        <v/>
      </c>
      <c r="CD11" s="371" t="str">
        <f t="shared" si="87"/>
        <v/>
      </c>
      <c r="CE11" s="371" t="str">
        <f t="shared" si="87"/>
        <v/>
      </c>
      <c r="CF11" s="799" t="str">
        <f t="shared" si="87"/>
        <v/>
      </c>
      <c r="CG11" s="807" t="str">
        <f t="shared" si="88"/>
        <v>B, ML above</v>
      </c>
      <c r="CH11" s="595" t="str">
        <f t="shared" si="89"/>
        <v>p-thru</v>
      </c>
      <c r="CI11" s="595" t="str">
        <f t="shared" si="90"/>
        <v>p-thru</v>
      </c>
      <c r="CJ11" s="595" t="str">
        <f t="shared" si="91"/>
        <v>ML</v>
      </c>
      <c r="CK11" s="595" t="str">
        <f t="shared" si="92"/>
        <v>p-thru</v>
      </c>
      <c r="CL11" s="595" t="str">
        <f t="shared" si="93"/>
        <v>ML</v>
      </c>
      <c r="CM11" s="595" t="str">
        <f t="shared" si="94"/>
        <v>p-thru</v>
      </c>
      <c r="CN11" s="595" t="str">
        <f t="shared" si="95"/>
        <v>ML</v>
      </c>
      <c r="CO11" s="595" t="str">
        <f t="shared" si="96"/>
        <v>p-thru</v>
      </c>
      <c r="CP11" s="595" t="str">
        <f t="shared" si="97"/>
        <v>p-thru</v>
      </c>
      <c r="CQ11" s="595" t="str">
        <f t="shared" si="98"/>
        <v>p-thru</v>
      </c>
      <c r="CR11" s="595" t="str">
        <f t="shared" si="99"/>
        <v>TOP</v>
      </c>
      <c r="CS11" s="595" t="str">
        <f t="shared" si="100"/>
        <v/>
      </c>
      <c r="CT11" s="595" t="str">
        <f t="shared" si="101"/>
        <v/>
      </c>
      <c r="CU11" s="595" t="str">
        <f t="shared" si="102"/>
        <v/>
      </c>
      <c r="CV11" s="595" t="str">
        <f t="shared" si="103"/>
        <v/>
      </c>
      <c r="CW11" s="595" t="str">
        <f t="shared" si="104"/>
        <v/>
      </c>
      <c r="CX11" s="808" t="str">
        <f t="shared" si="105"/>
        <v/>
      </c>
      <c r="CY11" s="816">
        <f>IF(VLOOKUP(A11,'TIS Site Config'!$A$4:$AQ$51,6,FALSE)="Non-heated",COUNTIF($CG11:$CX11,$DT$3),0)</f>
        <v>0</v>
      </c>
      <c r="CZ11" s="596">
        <f>IF(OR(VLOOKUP(A11,'TIS Site Config'!$A$4:$AQ$51,6,FALSE)="Heated",VLOOKUP(A11,'TIS Site Config'!$A$4:$AQ$51,6,FALSE)="Extreme Heated"),COUNTIF($CG11:$CX11,$DT$3),0)</f>
        <v>0</v>
      </c>
      <c r="DA11" s="596">
        <f>IF(VLOOKUP(A11,'TIS Site Config'!$A$4:$AQ$51,6,FALSE)="Non-heated",COUNTIF($CG11:$CX11,$DU$3),0)</f>
        <v>1</v>
      </c>
      <c r="DB11" s="596">
        <f>IF(OR(VLOOKUP(A11,'TIS Site Config'!$A$4:$AQ$51,6,FALSE)="Heated",VLOOKUP(A11,'TIS Site Config'!$A$4:$AQ$51,6,FALSE)="Extreme heated"),COUNTIF($CG11:$CX11,$DU$3),0)</f>
        <v>0</v>
      </c>
      <c r="DC11" s="596">
        <f>IF(VLOOKUP(A11,'TIS Site Config'!$A$4:$AQ$51,6,FALSE)="Non-heated",COUNTIF($CG11:$CX11,$DW$3),0)</f>
        <v>3</v>
      </c>
      <c r="DD11" s="596">
        <f>IF(OR(VLOOKUP(A11,'TIS Site Config'!$A$4:$AQ$51,6,FALSE)="Heated",VLOOKUP(A11,'TIS Site Config'!$A$4:$AQ$51,6,FALSE)="Extreme heated"),COUNTIF($CG11:$CX11,$DW$3),0)</f>
        <v>0</v>
      </c>
      <c r="DE11" s="596">
        <f t="shared" si="132"/>
        <v>7</v>
      </c>
      <c r="DF11" s="596">
        <f>IF(VLOOKUP(A11,'TIS Site Config'!$A$4:$AQ$51,6,FALSE)="Non-heated",COUNTIF($CG11:$CX11,$DX$3),0)</f>
        <v>1</v>
      </c>
      <c r="DG11" s="596">
        <f>IF(OR(VLOOKUP(A11,'TIS Site Config'!$A$4:$AQ$51,6,FALSE)="Heated",VLOOKUP(A11,'TIS Site Config'!$A$4:$AQ$51,6,FALSE)="Extreme heated"),COUNTIF($CG11:$CX11,$DX$3),0)</f>
        <v>0</v>
      </c>
      <c r="DH11" s="817"/>
      <c r="DI11" s="791">
        <f t="shared" si="133"/>
        <v>1</v>
      </c>
      <c r="DJ11" s="365">
        <f t="shared" si="134"/>
        <v>1</v>
      </c>
      <c r="DK11" s="365">
        <f t="shared" si="135"/>
        <v>3</v>
      </c>
      <c r="DL11" s="376">
        <v>1</v>
      </c>
      <c r="DM11" s="609">
        <f t="shared" si="106"/>
        <v>6</v>
      </c>
      <c r="DN11" s="883">
        <f t="shared" si="136"/>
        <v>0</v>
      </c>
      <c r="DO11" s="593">
        <f t="shared" si="107"/>
        <v>2</v>
      </c>
      <c r="DP11" s="593">
        <f t="shared" si="108"/>
        <v>5</v>
      </c>
      <c r="DR11" s="504">
        <f t="shared" si="109"/>
        <v>10</v>
      </c>
      <c r="DS11" s="504">
        <f t="shared" si="110"/>
        <v>2</v>
      </c>
      <c r="DT11" s="504">
        <f t="shared" si="111"/>
        <v>0</v>
      </c>
      <c r="DZ11" s="794">
        <f t="shared" si="137"/>
        <v>-0.15625745645430686</v>
      </c>
      <c r="EA11" s="599">
        <f t="shared" si="112"/>
        <v>1.8718981150083513</v>
      </c>
      <c r="EB11" s="599">
        <f t="shared" si="113"/>
        <v>4.5562216654736343</v>
      </c>
      <c r="EC11" s="599">
        <f t="shared" si="114"/>
        <v>6.6440288713910753</v>
      </c>
      <c r="ED11" s="599">
        <f t="shared" si="115"/>
        <v>8.433577905034598</v>
      </c>
      <c r="EE11" s="599">
        <f t="shared" si="116"/>
        <v>12</v>
      </c>
      <c r="EF11" s="599">
        <f t="shared" si="117"/>
        <v>100</v>
      </c>
      <c r="EG11" s="795">
        <f t="shared" si="118"/>
        <v>100</v>
      </c>
      <c r="EH11" s="1054">
        <f t="shared" si="119"/>
        <v>100</v>
      </c>
      <c r="EI11" s="1054">
        <f t="shared" si="120"/>
        <v>100</v>
      </c>
      <c r="EJ11" s="1054">
        <f t="shared" si="121"/>
        <v>12</v>
      </c>
      <c r="EK11" s="1054">
        <f t="shared" si="122"/>
        <v>8.433577905034598</v>
      </c>
      <c r="EL11" s="1054">
        <f t="shared" si="123"/>
        <v>6.6440288713910753</v>
      </c>
      <c r="EM11" s="1054">
        <f t="shared" si="124"/>
        <v>4.5562216654736343</v>
      </c>
      <c r="EN11" s="1054">
        <f t="shared" si="125"/>
        <v>1.8718981150083513</v>
      </c>
      <c r="EO11" s="1054">
        <f t="shared" si="126"/>
        <v>-0.15625745645430686</v>
      </c>
      <c r="EP11" s="1066" t="str">
        <f t="shared" si="127"/>
        <v>ML1.5</v>
      </c>
      <c r="EQ11" s="794"/>
      <c r="ER11" s="795" t="str">
        <f t="shared" si="128"/>
        <v>ML1</v>
      </c>
      <c r="ES11" s="795" t="str">
        <f t="shared" si="138"/>
        <v>ML5.5</v>
      </c>
    </row>
    <row r="12" spans="1:152" s="504" customFormat="1" x14ac:dyDescent="0.25">
      <c r="A12" s="584" t="s">
        <v>229</v>
      </c>
      <c r="B12" s="930" t="str">
        <f>VLOOKUP($A12,'TIS Site Config'!$A$3:$AQ$51,2,FALSE)</f>
        <v>D04</v>
      </c>
      <c r="C12" s="934" t="str">
        <f>IF(VLOOKUP($A12,'TIS Site Config'!$A$3:$AQ$51,3,FALSE)&lt;&gt;"",
              VLOOKUP($A12,'TIS Site Config'!$A$3:$AQ$51,3,FALSE),"")</f>
        <v/>
      </c>
      <c r="D12" s="931" t="str">
        <f>VLOOKUP($A12,'TIS Site Config'!$A$3:$AQ$51,4,FALSE)</f>
        <v>Guanica Forest</v>
      </c>
      <c r="E12" s="784">
        <f t="shared" si="129"/>
        <v>5</v>
      </c>
      <c r="F12" s="864"/>
      <c r="G12" s="821">
        <v>0.3</v>
      </c>
      <c r="H12" s="821">
        <v>4</v>
      </c>
      <c r="I12" s="821">
        <v>8</v>
      </c>
      <c r="J12" s="821">
        <v>12</v>
      </c>
      <c r="K12" s="821">
        <v>20</v>
      </c>
      <c r="L12" s="821"/>
      <c r="M12" s="821"/>
      <c r="N12" s="827"/>
      <c r="O12" s="613">
        <v>72</v>
      </c>
      <c r="P12" s="619" t="s">
        <v>138</v>
      </c>
      <c r="Q12" s="770">
        <f t="shared" si="130"/>
        <v>6</v>
      </c>
      <c r="R12" s="611">
        <v>1</v>
      </c>
      <c r="S12" s="611"/>
      <c r="T12" s="368" t="s">
        <v>203</v>
      </c>
      <c r="U12" s="368" t="s">
        <v>203</v>
      </c>
      <c r="V12" s="368" t="s">
        <v>203</v>
      </c>
      <c r="W12" s="368" t="s">
        <v>203</v>
      </c>
      <c r="X12" s="368" t="s">
        <v>203</v>
      </c>
      <c r="Y12" s="368" t="s">
        <v>203</v>
      </c>
      <c r="Z12" s="368"/>
      <c r="AA12" s="368"/>
      <c r="AB12" s="368"/>
      <c r="AC12" s="368"/>
      <c r="AD12" s="368"/>
      <c r="AE12" s="368"/>
      <c r="AF12" s="368"/>
      <c r="AG12" s="368"/>
      <c r="AH12" s="368"/>
      <c r="AI12" s="368"/>
      <c r="AJ12" s="368"/>
      <c r="AK12" s="602"/>
      <c r="AL12" s="820">
        <v>3</v>
      </c>
      <c r="AM12" s="773">
        <f t="shared" si="131"/>
        <v>25.5</v>
      </c>
      <c r="AN12" s="821"/>
      <c r="AO12" s="787">
        <f t="shared" si="76"/>
        <v>2.0416666666666665</v>
      </c>
      <c r="AP12" s="838">
        <v>0.3</v>
      </c>
      <c r="AQ12" s="839">
        <v>4</v>
      </c>
      <c r="AR12" s="839">
        <v>8</v>
      </c>
      <c r="AS12" s="839">
        <v>12</v>
      </c>
      <c r="AT12" s="839">
        <v>20</v>
      </c>
      <c r="AU12" s="839"/>
      <c r="AV12" s="839"/>
      <c r="AW12" s="840"/>
      <c r="AX12" s="860">
        <v>0.3</v>
      </c>
      <c r="AY12" s="852">
        <v>4</v>
      </c>
      <c r="AZ12" s="852">
        <v>8</v>
      </c>
      <c r="BA12" s="852">
        <v>12</v>
      </c>
      <c r="BB12" s="852">
        <v>20</v>
      </c>
      <c r="BC12" s="852">
        <v>0</v>
      </c>
      <c r="BD12" s="852">
        <v>0</v>
      </c>
      <c r="BE12" s="853">
        <v>0</v>
      </c>
      <c r="BF12" s="835">
        <f t="shared" si="77"/>
        <v>-9.6128608923884501E-2</v>
      </c>
      <c r="BG12" s="836">
        <f t="shared" si="78"/>
        <v>1.0074266284896207</v>
      </c>
      <c r="BH12" s="836">
        <f t="shared" si="79"/>
        <v>2.200459317585302</v>
      </c>
      <c r="BI12" s="836">
        <f t="shared" si="80"/>
        <v>3.3934920066809835</v>
      </c>
      <c r="BJ12" s="836">
        <f t="shared" si="81"/>
        <v>6</v>
      </c>
      <c r="BK12" s="836">
        <f t="shared" si="82"/>
        <v>0</v>
      </c>
      <c r="BL12" s="836">
        <f t="shared" si="83"/>
        <v>0</v>
      </c>
      <c r="BM12" s="837">
        <f t="shared" si="84"/>
        <v>0</v>
      </c>
      <c r="BN12" s="800">
        <f t="shared" si="139"/>
        <v>1</v>
      </c>
      <c r="BO12" s="368">
        <f t="shared" si="86"/>
        <v>1</v>
      </c>
      <c r="BP12" s="368">
        <f t="shared" si="86"/>
        <v>1</v>
      </c>
      <c r="BQ12" s="368">
        <f t="shared" si="86"/>
        <v>1</v>
      </c>
      <c r="BR12" s="368">
        <f t="shared" si="86"/>
        <v>0</v>
      </c>
      <c r="BS12" s="368">
        <f t="shared" si="86"/>
        <v>0</v>
      </c>
      <c r="BT12" s="368">
        <f t="shared" si="86"/>
        <v>1</v>
      </c>
      <c r="BU12" s="368" t="str">
        <f t="shared" si="86"/>
        <v/>
      </c>
      <c r="BV12" s="368" t="str">
        <f t="shared" si="86"/>
        <v/>
      </c>
      <c r="BW12" s="368" t="str">
        <f t="shared" si="86"/>
        <v/>
      </c>
      <c r="BX12" s="368" t="str">
        <f t="shared" si="86"/>
        <v/>
      </c>
      <c r="BY12" s="368" t="str">
        <f t="shared" si="87"/>
        <v/>
      </c>
      <c r="BZ12" s="368" t="str">
        <f t="shared" si="87"/>
        <v/>
      </c>
      <c r="CA12" s="368" t="str">
        <f t="shared" si="87"/>
        <v/>
      </c>
      <c r="CB12" s="368" t="str">
        <f t="shared" si="87"/>
        <v/>
      </c>
      <c r="CC12" s="368" t="str">
        <f t="shared" si="87"/>
        <v/>
      </c>
      <c r="CD12" s="368" t="str">
        <f t="shared" si="87"/>
        <v/>
      </c>
      <c r="CE12" s="368" t="str">
        <f t="shared" si="87"/>
        <v/>
      </c>
      <c r="CF12" s="797" t="str">
        <f t="shared" si="87"/>
        <v/>
      </c>
      <c r="CG12" s="803" t="str">
        <f t="shared" si="88"/>
        <v>B, ML above</v>
      </c>
      <c r="CH12" s="591" t="str">
        <f t="shared" si="89"/>
        <v>ML</v>
      </c>
      <c r="CI12" s="591" t="str">
        <f t="shared" si="90"/>
        <v>ML</v>
      </c>
      <c r="CJ12" s="591" t="str">
        <f t="shared" si="91"/>
        <v>p-thru</v>
      </c>
      <c r="CK12" s="591" t="str">
        <f t="shared" si="92"/>
        <v>p-thru</v>
      </c>
      <c r="CL12" s="591" t="str">
        <f t="shared" si="93"/>
        <v>TOP</v>
      </c>
      <c r="CM12" s="591" t="str">
        <f t="shared" si="94"/>
        <v/>
      </c>
      <c r="CN12" s="591" t="str">
        <f t="shared" si="95"/>
        <v/>
      </c>
      <c r="CO12" s="591" t="str">
        <f t="shared" si="96"/>
        <v/>
      </c>
      <c r="CP12" s="591" t="str">
        <f t="shared" si="97"/>
        <v/>
      </c>
      <c r="CQ12" s="591" t="str">
        <f t="shared" si="98"/>
        <v/>
      </c>
      <c r="CR12" s="591" t="str">
        <f t="shared" si="99"/>
        <v/>
      </c>
      <c r="CS12" s="591" t="str">
        <f t="shared" si="100"/>
        <v/>
      </c>
      <c r="CT12" s="591" t="str">
        <f t="shared" si="101"/>
        <v/>
      </c>
      <c r="CU12" s="591" t="str">
        <f t="shared" si="102"/>
        <v/>
      </c>
      <c r="CV12" s="591" t="str">
        <f t="shared" si="103"/>
        <v/>
      </c>
      <c r="CW12" s="591" t="str">
        <f t="shared" si="104"/>
        <v/>
      </c>
      <c r="CX12" s="804" t="str">
        <f t="shared" si="105"/>
        <v/>
      </c>
      <c r="CY12" s="813">
        <f>IF(VLOOKUP(A12,'TIS Site Config'!$A$4:$AQ$51,6,FALSE)="Non-heated",COUNTIF($CG12:$CX12,$DT$3),0)</f>
        <v>0</v>
      </c>
      <c r="CZ12" s="592">
        <f>IF(OR(VLOOKUP(A12,'TIS Site Config'!$A$4:$AQ$51,6,FALSE)="Heated",VLOOKUP(A12,'TIS Site Config'!$A$4:$AQ$51,6,FALSE)="Extreme Heated"),COUNTIF($CG12:$CX12,$DT$3),0)</f>
        <v>0</v>
      </c>
      <c r="DA12" s="592">
        <f>IF(VLOOKUP(A12,'TIS Site Config'!$A$4:$AQ$51,6,FALSE)="Non-heated",COUNTIF($CG12:$CX12,$DU$3),0)</f>
        <v>1</v>
      </c>
      <c r="DB12" s="592">
        <f>IF(OR(VLOOKUP(A12,'TIS Site Config'!$A$4:$AQ$51,6,FALSE)="Heated",VLOOKUP(A12,'TIS Site Config'!$A$4:$AQ$51,6,FALSE)="Extreme heated"),COUNTIF($CG12:$CX12,$DU$3),0)</f>
        <v>0</v>
      </c>
      <c r="DC12" s="592">
        <f>IF(VLOOKUP(A12,'TIS Site Config'!$A$4:$AQ$51,6,FALSE)="Non-heated",COUNTIF($CG12:$CX12,$DW$3),0)</f>
        <v>2</v>
      </c>
      <c r="DD12" s="592">
        <f>IF(OR(VLOOKUP(A12,'TIS Site Config'!$A$4:$AQ$51,6,FALSE)="Heated",VLOOKUP(A12,'TIS Site Config'!$A$4:$AQ$51,6,FALSE)="Extreme heated"),COUNTIF($CG12:$CX12,$DW$3),0)</f>
        <v>0</v>
      </c>
      <c r="DE12" s="592">
        <f t="shared" si="132"/>
        <v>2</v>
      </c>
      <c r="DF12" s="592">
        <f>IF(VLOOKUP(A12,'TIS Site Config'!$A$4:$AQ$51,6,FALSE)="Non-heated",COUNTIF($CG12:$CX12,$DX$3),0)</f>
        <v>1</v>
      </c>
      <c r="DG12" s="592">
        <f>IF(OR(VLOOKUP(A12,'TIS Site Config'!$A$4:$AQ$51,6,FALSE)="Heated",VLOOKUP(A12,'TIS Site Config'!$A$4:$AQ$51,6,FALSE)="Extreme heated"),COUNTIF($CG12:$CX12,$DX$3),0)</f>
        <v>0</v>
      </c>
      <c r="DH12" s="814"/>
      <c r="DI12" s="810">
        <f t="shared" si="133"/>
        <v>0</v>
      </c>
      <c r="DJ12" s="355">
        <f t="shared" si="134"/>
        <v>0</v>
      </c>
      <c r="DK12" s="355">
        <f t="shared" si="135"/>
        <v>4</v>
      </c>
      <c r="DL12" s="603">
        <v>1</v>
      </c>
      <c r="DM12" s="604">
        <f t="shared" si="106"/>
        <v>5</v>
      </c>
      <c r="DN12" s="883">
        <f t="shared" si="136"/>
        <v>0</v>
      </c>
      <c r="DO12" s="593">
        <f t="shared" si="107"/>
        <v>2</v>
      </c>
      <c r="DP12" s="593">
        <f t="shared" si="108"/>
        <v>3</v>
      </c>
      <c r="DR12" s="504">
        <f t="shared" si="109"/>
        <v>6</v>
      </c>
      <c r="DS12" s="504">
        <f t="shared" si="110"/>
        <v>0</v>
      </c>
      <c r="DT12" s="504">
        <f t="shared" si="111"/>
        <v>0</v>
      </c>
      <c r="DZ12" s="835">
        <f t="shared" si="137"/>
        <v>-9.6128608923884501E-2</v>
      </c>
      <c r="EA12" s="836">
        <f t="shared" si="112"/>
        <v>1.0074266284896207</v>
      </c>
      <c r="EB12" s="836">
        <f t="shared" si="113"/>
        <v>2.200459317585302</v>
      </c>
      <c r="EC12" s="836">
        <f t="shared" si="114"/>
        <v>3.3934920066809835</v>
      </c>
      <c r="ED12" s="836">
        <f t="shared" si="115"/>
        <v>6</v>
      </c>
      <c r="EE12" s="836">
        <f t="shared" si="116"/>
        <v>100</v>
      </c>
      <c r="EF12" s="836">
        <f t="shared" si="117"/>
        <v>100</v>
      </c>
      <c r="EG12" s="837">
        <f t="shared" si="118"/>
        <v>100</v>
      </c>
      <c r="EH12" s="1053">
        <f t="shared" si="119"/>
        <v>100</v>
      </c>
      <c r="EI12" s="1053">
        <f t="shared" si="120"/>
        <v>100</v>
      </c>
      <c r="EJ12" s="1053">
        <f t="shared" si="121"/>
        <v>100</v>
      </c>
      <c r="EK12" s="1053">
        <f t="shared" si="122"/>
        <v>6</v>
      </c>
      <c r="EL12" s="1053">
        <f t="shared" si="123"/>
        <v>3.3934920066809835</v>
      </c>
      <c r="EM12" s="1053">
        <f t="shared" si="124"/>
        <v>2.200459317585302</v>
      </c>
      <c r="EN12" s="1053">
        <f t="shared" si="125"/>
        <v>1.0074266284896207</v>
      </c>
      <c r="EO12" s="1053">
        <f t="shared" si="126"/>
        <v>-9.6128608923884501E-2</v>
      </c>
      <c r="EP12" s="1067" t="str">
        <f t="shared" si="127"/>
        <v>ML2.5</v>
      </c>
      <c r="EQ12" s="835"/>
      <c r="ER12" s="837" t="str">
        <f t="shared" si="128"/>
        <v>ML1</v>
      </c>
      <c r="ES12" s="837" t="str">
        <f t="shared" si="138"/>
        <v>ML4.5</v>
      </c>
      <c r="EV12" s="1058"/>
    </row>
    <row r="13" spans="1:152" s="504" customFormat="1" ht="15.75" thickBot="1" x14ac:dyDescent="0.3">
      <c r="A13" s="377" t="s">
        <v>208</v>
      </c>
      <c r="B13" s="761" t="str">
        <f>VLOOKUP($A13,'TIS Site Config'!$A$3:$AQ$51,2,FALSE)</f>
        <v>D04</v>
      </c>
      <c r="C13" s="751" t="str">
        <f>IF(VLOOKUP($A13,'TIS Site Config'!$A$3:$AQ$51,3,FALSE)&lt;&gt;"",
              VLOOKUP($A13,'TIS Site Config'!$A$3:$AQ$51,3,FALSE),"")</f>
        <v>B-FY15-1</v>
      </c>
      <c r="D13" s="933" t="str">
        <f>VLOOKUP($A13,'TIS Site Config'!$A$3:$AQ$51,4,FALSE)</f>
        <v>Lajas Experimental Station</v>
      </c>
      <c r="E13" s="786">
        <f t="shared" si="129"/>
        <v>4</v>
      </c>
      <c r="F13" s="866"/>
      <c r="G13" s="365">
        <v>0.15</v>
      </c>
      <c r="H13" s="373">
        <v>2</v>
      </c>
      <c r="I13" s="373">
        <v>4</v>
      </c>
      <c r="J13" s="373">
        <v>6</v>
      </c>
      <c r="K13" s="373"/>
      <c r="L13" s="373"/>
      <c r="M13" s="373"/>
      <c r="N13" s="374"/>
      <c r="O13" s="617">
        <v>26</v>
      </c>
      <c r="P13" s="618" t="s">
        <v>139</v>
      </c>
      <c r="Q13" s="772">
        <f t="shared" si="130"/>
        <v>2</v>
      </c>
      <c r="R13" s="620">
        <v>1</v>
      </c>
      <c r="S13" s="620"/>
      <c r="T13" s="371" t="s">
        <v>203</v>
      </c>
      <c r="U13" s="371" t="s">
        <v>203</v>
      </c>
      <c r="V13" s="371"/>
      <c r="W13" s="371"/>
      <c r="X13" s="371"/>
      <c r="Y13" s="371"/>
      <c r="Z13" s="371"/>
      <c r="AA13" s="371"/>
      <c r="AB13" s="371"/>
      <c r="AC13" s="371"/>
      <c r="AD13" s="371"/>
      <c r="AE13" s="371"/>
      <c r="AF13" s="371"/>
      <c r="AG13" s="371"/>
      <c r="AH13" s="371"/>
      <c r="AI13" s="371"/>
      <c r="AJ13" s="371"/>
      <c r="AK13" s="608"/>
      <c r="AL13" s="375">
        <v>9</v>
      </c>
      <c r="AM13" s="775">
        <f t="shared" si="131"/>
        <v>14</v>
      </c>
      <c r="AN13" s="373"/>
      <c r="AO13" s="789">
        <f t="shared" si="76"/>
        <v>1.0833333333333333</v>
      </c>
      <c r="AP13" s="844">
        <v>0.15</v>
      </c>
      <c r="AQ13" s="845">
        <v>2</v>
      </c>
      <c r="AR13" s="845">
        <v>4</v>
      </c>
      <c r="AS13" s="845">
        <v>6</v>
      </c>
      <c r="AT13" s="845"/>
      <c r="AU13" s="845"/>
      <c r="AV13" s="845"/>
      <c r="AW13" s="846"/>
      <c r="AX13" s="857">
        <v>0.15</v>
      </c>
      <c r="AY13" s="858">
        <v>2</v>
      </c>
      <c r="AZ13" s="858">
        <v>4</v>
      </c>
      <c r="BA13" s="858">
        <v>6</v>
      </c>
      <c r="BB13" s="858">
        <v>0</v>
      </c>
      <c r="BC13" s="858">
        <v>0</v>
      </c>
      <c r="BD13" s="858">
        <v>0</v>
      </c>
      <c r="BE13" s="859">
        <v>0</v>
      </c>
      <c r="BF13" s="794">
        <f t="shared" si="77"/>
        <v>-5.3746122643760434E-2</v>
      </c>
      <c r="BG13" s="599">
        <f t="shared" si="78"/>
        <v>0.49803149606299218</v>
      </c>
      <c r="BH13" s="599">
        <f t="shared" si="79"/>
        <v>1.0945478406108327</v>
      </c>
      <c r="BI13" s="599">
        <f t="shared" si="80"/>
        <v>2</v>
      </c>
      <c r="BJ13" s="599">
        <f t="shared" si="81"/>
        <v>0</v>
      </c>
      <c r="BK13" s="599">
        <f t="shared" si="82"/>
        <v>0</v>
      </c>
      <c r="BL13" s="599">
        <f t="shared" si="83"/>
        <v>0</v>
      </c>
      <c r="BM13" s="795">
        <f t="shared" si="84"/>
        <v>0</v>
      </c>
      <c r="BN13" s="802">
        <f t="shared" si="139"/>
        <v>2</v>
      </c>
      <c r="BO13" s="371">
        <f t="shared" si="86"/>
        <v>1</v>
      </c>
      <c r="BP13" s="371">
        <f t="shared" si="86"/>
        <v>1</v>
      </c>
      <c r="BQ13" s="371" t="str">
        <f t="shared" si="86"/>
        <v/>
      </c>
      <c r="BR13" s="371" t="str">
        <f t="shared" si="86"/>
        <v/>
      </c>
      <c r="BS13" s="371" t="str">
        <f t="shared" si="86"/>
        <v/>
      </c>
      <c r="BT13" s="371" t="str">
        <f t="shared" si="86"/>
        <v/>
      </c>
      <c r="BU13" s="371" t="str">
        <f t="shared" si="86"/>
        <v/>
      </c>
      <c r="BV13" s="371" t="str">
        <f t="shared" si="86"/>
        <v/>
      </c>
      <c r="BW13" s="371" t="str">
        <f t="shared" si="86"/>
        <v/>
      </c>
      <c r="BX13" s="371" t="str">
        <f t="shared" si="86"/>
        <v/>
      </c>
      <c r="BY13" s="371" t="str">
        <f t="shared" si="87"/>
        <v/>
      </c>
      <c r="BZ13" s="371" t="str">
        <f t="shared" si="87"/>
        <v/>
      </c>
      <c r="CA13" s="371" t="str">
        <f t="shared" si="87"/>
        <v/>
      </c>
      <c r="CB13" s="371" t="str">
        <f t="shared" si="87"/>
        <v/>
      </c>
      <c r="CC13" s="371" t="str">
        <f t="shared" si="87"/>
        <v/>
      </c>
      <c r="CD13" s="371" t="str">
        <f t="shared" si="87"/>
        <v/>
      </c>
      <c r="CE13" s="371" t="str">
        <f t="shared" si="87"/>
        <v/>
      </c>
      <c r="CF13" s="799" t="str">
        <f t="shared" si="87"/>
        <v/>
      </c>
      <c r="CG13" s="807" t="str">
        <f t="shared" si="88"/>
        <v>B, ML above</v>
      </c>
      <c r="CH13" s="595" t="str">
        <f t="shared" si="89"/>
        <v>TOP</v>
      </c>
      <c r="CI13" s="595" t="str">
        <f t="shared" si="90"/>
        <v/>
      </c>
      <c r="CJ13" s="595" t="str">
        <f t="shared" si="91"/>
        <v/>
      </c>
      <c r="CK13" s="595" t="str">
        <f t="shared" si="92"/>
        <v/>
      </c>
      <c r="CL13" s="595" t="str">
        <f t="shared" si="93"/>
        <v/>
      </c>
      <c r="CM13" s="595" t="str">
        <f t="shared" si="94"/>
        <v/>
      </c>
      <c r="CN13" s="595" t="str">
        <f t="shared" si="95"/>
        <v/>
      </c>
      <c r="CO13" s="595" t="str">
        <f t="shared" si="96"/>
        <v/>
      </c>
      <c r="CP13" s="595" t="str">
        <f t="shared" si="97"/>
        <v/>
      </c>
      <c r="CQ13" s="595" t="str">
        <f t="shared" si="98"/>
        <v/>
      </c>
      <c r="CR13" s="595" t="str">
        <f t="shared" si="99"/>
        <v/>
      </c>
      <c r="CS13" s="595" t="str">
        <f t="shared" si="100"/>
        <v/>
      </c>
      <c r="CT13" s="595" t="str">
        <f t="shared" si="101"/>
        <v/>
      </c>
      <c r="CU13" s="595" t="str">
        <f t="shared" si="102"/>
        <v/>
      </c>
      <c r="CV13" s="595" t="str">
        <f t="shared" si="103"/>
        <v/>
      </c>
      <c r="CW13" s="595" t="str">
        <f t="shared" si="104"/>
        <v/>
      </c>
      <c r="CX13" s="808" t="str">
        <f t="shared" si="105"/>
        <v/>
      </c>
      <c r="CY13" s="816">
        <f>IF(VLOOKUP(A13,'TIS Site Config'!$A$4:$AQ$51,6,FALSE)="Non-heated",COUNTIF($CG13:$CX13,$DT$3),0)</f>
        <v>0</v>
      </c>
      <c r="CZ13" s="596">
        <f>IF(OR(VLOOKUP(A13,'TIS Site Config'!$A$4:$AQ$51,6,FALSE)="Heated",VLOOKUP(A13,'TIS Site Config'!$A$4:$AQ$51,6,FALSE)="Extreme Heated"),COUNTIF($CG13:$CX13,$DT$3),0)</f>
        <v>0</v>
      </c>
      <c r="DA13" s="596">
        <f>IF(VLOOKUP(A13,'TIS Site Config'!$A$4:$AQ$51,6,FALSE)="Non-heated",COUNTIF($CG13:$CX13,$DU$3),0)</f>
        <v>1</v>
      </c>
      <c r="DB13" s="596">
        <f>IF(OR(VLOOKUP(A13,'TIS Site Config'!$A$4:$AQ$51,6,FALSE)="Heated",VLOOKUP(A13,'TIS Site Config'!$A$4:$AQ$51,6,FALSE)="Extreme heated"),COUNTIF($CG13:$CX13,$DU$3),0)</f>
        <v>0</v>
      </c>
      <c r="DC13" s="596">
        <f>IF(VLOOKUP(A13,'TIS Site Config'!$A$4:$AQ$51,6,FALSE)="Non-heated",COUNTIF($CG13:$CX13,$DW$3),0)</f>
        <v>0</v>
      </c>
      <c r="DD13" s="596">
        <f>IF(OR(VLOOKUP(A13,'TIS Site Config'!$A$4:$AQ$51,6,FALSE)="Heated",VLOOKUP(A13,'TIS Site Config'!$A$4:$AQ$51,6,FALSE)="Extreme heated"),COUNTIF($CG13:$CX13,$DW$3),0)</f>
        <v>0</v>
      </c>
      <c r="DE13" s="596">
        <f t="shared" si="132"/>
        <v>0</v>
      </c>
      <c r="DF13" s="596">
        <f>IF(VLOOKUP(A13,'TIS Site Config'!$A$4:$AQ$51,6,FALSE)="Non-heated",COUNTIF($CG13:$CX13,$DX$3),0)</f>
        <v>1</v>
      </c>
      <c r="DG13" s="596">
        <f>IF(OR(VLOOKUP(A13,'TIS Site Config'!$A$4:$AQ$51,6,FALSE)="Heated",VLOOKUP(A13,'TIS Site Config'!$A$4:$AQ$51,6,FALSE)="Extreme heated"),COUNTIF($CG13:$CX13,$DX$3),0)</f>
        <v>0</v>
      </c>
      <c r="DH13" s="817"/>
      <c r="DI13" s="791">
        <f t="shared" si="133"/>
        <v>0</v>
      </c>
      <c r="DJ13" s="365">
        <f t="shared" si="134"/>
        <v>0</v>
      </c>
      <c r="DK13" s="365">
        <f t="shared" si="135"/>
        <v>3</v>
      </c>
      <c r="DL13" s="376">
        <v>1</v>
      </c>
      <c r="DM13" s="609">
        <f t="shared" si="106"/>
        <v>4</v>
      </c>
      <c r="DN13" s="883">
        <f t="shared" si="136"/>
        <v>0</v>
      </c>
      <c r="DO13" s="593">
        <f t="shared" si="107"/>
        <v>1</v>
      </c>
      <c r="DP13" s="593">
        <f t="shared" si="108"/>
        <v>2</v>
      </c>
      <c r="DR13" s="504">
        <f t="shared" si="109"/>
        <v>2</v>
      </c>
      <c r="DS13" s="504">
        <f t="shared" si="110"/>
        <v>0</v>
      </c>
      <c r="DT13" s="504">
        <f t="shared" si="111"/>
        <v>0</v>
      </c>
      <c r="DZ13" s="794">
        <f t="shared" si="137"/>
        <v>-5.3746122643760434E-2</v>
      </c>
      <c r="EA13" s="599">
        <f t="shared" si="112"/>
        <v>0.49803149606299218</v>
      </c>
      <c r="EB13" s="599">
        <f t="shared" si="113"/>
        <v>1.0945478406108327</v>
      </c>
      <c r="EC13" s="599">
        <f t="shared" si="114"/>
        <v>2</v>
      </c>
      <c r="ED13" s="599">
        <f t="shared" si="115"/>
        <v>100</v>
      </c>
      <c r="EE13" s="599">
        <f t="shared" si="116"/>
        <v>100</v>
      </c>
      <c r="EF13" s="599">
        <f t="shared" si="117"/>
        <v>100</v>
      </c>
      <c r="EG13" s="795">
        <f t="shared" si="118"/>
        <v>100</v>
      </c>
      <c r="EH13" s="1054">
        <f t="shared" si="119"/>
        <v>100</v>
      </c>
      <c r="EI13" s="1054">
        <f t="shared" si="120"/>
        <v>100</v>
      </c>
      <c r="EJ13" s="1054">
        <f t="shared" si="121"/>
        <v>100</v>
      </c>
      <c r="EK13" s="1054">
        <f t="shared" si="122"/>
        <v>100</v>
      </c>
      <c r="EL13" s="1054">
        <f t="shared" si="123"/>
        <v>2</v>
      </c>
      <c r="EM13" s="1054">
        <f t="shared" si="124"/>
        <v>1.0945478406108327</v>
      </c>
      <c r="EN13" s="1054">
        <f t="shared" si="125"/>
        <v>0.49803149606299218</v>
      </c>
      <c r="EO13" s="1054">
        <f t="shared" si="126"/>
        <v>-5.3746122643760434E-2</v>
      </c>
      <c r="EP13" s="1066" t="str">
        <f t="shared" si="127"/>
        <v>ML3.5</v>
      </c>
      <c r="EQ13" s="794"/>
      <c r="ER13" s="795" t="str">
        <f t="shared" si="128"/>
        <v>ML1</v>
      </c>
      <c r="ES13" s="795" t="str">
        <f t="shared" si="138"/>
        <v>ML3.5</v>
      </c>
    </row>
    <row r="14" spans="1:152" s="504" customFormat="1" x14ac:dyDescent="0.25">
      <c r="A14" s="584" t="s">
        <v>230</v>
      </c>
      <c r="B14" s="930" t="str">
        <f>VLOOKUP($A14,'TIS Site Config'!$A$3:$AQ$51,2,FALSE)</f>
        <v>D05</v>
      </c>
      <c r="C14" s="934" t="str">
        <f>IF(VLOOKUP($A14,'TIS Site Config'!$A$3:$AQ$51,3,FALSE)&lt;&gt;"",
              VLOOKUP($A14,'TIS Site Config'!$A$3:$AQ$51,3,FALSE),"")</f>
        <v>A-FY14</v>
      </c>
      <c r="D14" s="931" t="str">
        <f>VLOOKUP($A14,'TIS Site Config'!$A$3:$AQ$51,4,FALSE)</f>
        <v>UNDERC</v>
      </c>
      <c r="E14" s="784">
        <f t="shared" si="129"/>
        <v>6</v>
      </c>
      <c r="F14" s="864"/>
      <c r="G14" s="597">
        <v>0.3</v>
      </c>
      <c r="H14" s="597">
        <v>8</v>
      </c>
      <c r="I14" s="597">
        <v>16</v>
      </c>
      <c r="J14" s="597">
        <v>24</v>
      </c>
      <c r="K14" s="597">
        <v>27</v>
      </c>
      <c r="L14" s="597">
        <v>36</v>
      </c>
      <c r="M14" s="597"/>
      <c r="N14" s="826"/>
      <c r="O14" s="613">
        <v>127</v>
      </c>
      <c r="P14" s="614" t="s">
        <v>138</v>
      </c>
      <c r="Q14" s="770">
        <f t="shared" si="130"/>
        <v>11</v>
      </c>
      <c r="R14" s="611">
        <v>1</v>
      </c>
      <c r="S14" s="611"/>
      <c r="T14" s="368" t="s">
        <v>203</v>
      </c>
      <c r="U14" s="368" t="s">
        <v>203</v>
      </c>
      <c r="V14" s="368" t="s">
        <v>203</v>
      </c>
      <c r="W14" s="368" t="s">
        <v>203</v>
      </c>
      <c r="X14" s="368" t="s">
        <v>203</v>
      </c>
      <c r="Y14" s="368" t="s">
        <v>203</v>
      </c>
      <c r="Z14" s="368" t="s">
        <v>203</v>
      </c>
      <c r="AA14" s="368" t="s">
        <v>203</v>
      </c>
      <c r="AB14" s="368" t="s">
        <v>203</v>
      </c>
      <c r="AC14" s="368" t="s">
        <v>203</v>
      </c>
      <c r="AD14" s="368" t="s">
        <v>203</v>
      </c>
      <c r="AE14" s="355"/>
      <c r="AF14" s="355"/>
      <c r="AG14" s="355"/>
      <c r="AH14" s="355"/>
      <c r="AI14" s="355"/>
      <c r="AJ14" s="355"/>
      <c r="AK14" s="603"/>
      <c r="AL14" s="819">
        <v>3</v>
      </c>
      <c r="AM14" s="773">
        <f t="shared" si="131"/>
        <v>25.5</v>
      </c>
      <c r="AN14" s="597">
        <v>28.25</v>
      </c>
      <c r="AO14" s="787">
        <f t="shared" si="76"/>
        <v>2.2708333333333335</v>
      </c>
      <c r="AP14" s="838">
        <v>0.3</v>
      </c>
      <c r="AQ14" s="839">
        <v>8</v>
      </c>
      <c r="AR14" s="839">
        <v>16</v>
      </c>
      <c r="AS14" s="839">
        <v>23.4</v>
      </c>
      <c r="AT14" s="839">
        <v>26.7</v>
      </c>
      <c r="AU14" s="839">
        <v>36</v>
      </c>
      <c r="AV14" s="839"/>
      <c r="AW14" s="840"/>
      <c r="AX14" s="860">
        <v>0.3</v>
      </c>
      <c r="AY14" s="852">
        <v>8</v>
      </c>
      <c r="AZ14" s="852">
        <v>16</v>
      </c>
      <c r="BA14" s="852">
        <v>24</v>
      </c>
      <c r="BB14" s="852">
        <v>27</v>
      </c>
      <c r="BC14" s="852">
        <v>36</v>
      </c>
      <c r="BD14" s="852">
        <v>0</v>
      </c>
      <c r="BE14" s="853">
        <v>0</v>
      </c>
      <c r="BF14" s="835">
        <f t="shared" si="77"/>
        <v>-0.11696194225721786</v>
      </c>
      <c r="BG14" s="836">
        <f t="shared" si="78"/>
        <v>2.1796259842519685</v>
      </c>
      <c r="BH14" s="836">
        <f t="shared" si="79"/>
        <v>4.5656913624433306</v>
      </c>
      <c r="BI14" s="836">
        <f t="shared" si="80"/>
        <v>6.7728018372703414</v>
      </c>
      <c r="BJ14" s="836">
        <f t="shared" si="81"/>
        <v>7.7570538057742793</v>
      </c>
      <c r="BK14" s="836">
        <f t="shared" si="82"/>
        <v>11</v>
      </c>
      <c r="BL14" s="836">
        <f t="shared" si="83"/>
        <v>0</v>
      </c>
      <c r="BM14" s="837">
        <f t="shared" si="84"/>
        <v>0</v>
      </c>
      <c r="BN14" s="800">
        <f t="shared" si="139"/>
        <v>1</v>
      </c>
      <c r="BO14" s="368">
        <f t="shared" si="86"/>
        <v>0</v>
      </c>
      <c r="BP14" s="368">
        <f t="shared" si="86"/>
        <v>1</v>
      </c>
      <c r="BQ14" s="368">
        <f t="shared" si="86"/>
        <v>0</v>
      </c>
      <c r="BR14" s="368">
        <f t="shared" si="86"/>
        <v>1</v>
      </c>
      <c r="BS14" s="368">
        <f t="shared" si="86"/>
        <v>0</v>
      </c>
      <c r="BT14" s="369">
        <f t="shared" si="86"/>
        <v>1</v>
      </c>
      <c r="BU14" s="369">
        <f t="shared" si="86"/>
        <v>1</v>
      </c>
      <c r="BV14" s="369">
        <f t="shared" si="86"/>
        <v>0</v>
      </c>
      <c r="BW14" s="368">
        <f t="shared" si="86"/>
        <v>0</v>
      </c>
      <c r="BX14" s="368">
        <f t="shared" si="86"/>
        <v>0</v>
      </c>
      <c r="BY14" s="368">
        <f t="shared" si="87"/>
        <v>1</v>
      </c>
      <c r="BZ14" s="368" t="str">
        <f t="shared" si="87"/>
        <v/>
      </c>
      <c r="CA14" s="368" t="str">
        <f t="shared" si="87"/>
        <v/>
      </c>
      <c r="CB14" s="368" t="str">
        <f t="shared" si="87"/>
        <v/>
      </c>
      <c r="CC14" s="368" t="str">
        <f t="shared" si="87"/>
        <v/>
      </c>
      <c r="CD14" s="368" t="str">
        <f t="shared" si="87"/>
        <v/>
      </c>
      <c r="CE14" s="368" t="str">
        <f t="shared" si="87"/>
        <v/>
      </c>
      <c r="CF14" s="797" t="str">
        <f t="shared" si="87"/>
        <v/>
      </c>
      <c r="CG14" s="803" t="str">
        <f t="shared" si="88"/>
        <v>B, p-thru above</v>
      </c>
      <c r="CH14" s="591" t="str">
        <f t="shared" si="89"/>
        <v>ML</v>
      </c>
      <c r="CI14" s="591" t="str">
        <f t="shared" si="90"/>
        <v>p-thru</v>
      </c>
      <c r="CJ14" s="591" t="str">
        <f t="shared" si="91"/>
        <v>ML</v>
      </c>
      <c r="CK14" s="591" t="str">
        <f t="shared" si="92"/>
        <v>p-thru</v>
      </c>
      <c r="CL14" s="591" t="str">
        <f t="shared" si="93"/>
        <v>ML</v>
      </c>
      <c r="CM14" s="591" t="str">
        <f t="shared" si="94"/>
        <v>ML</v>
      </c>
      <c r="CN14" s="591" t="str">
        <f t="shared" si="95"/>
        <v>p-thru</v>
      </c>
      <c r="CO14" s="591" t="str">
        <f t="shared" si="96"/>
        <v>p-thru</v>
      </c>
      <c r="CP14" s="591" t="str">
        <f t="shared" si="97"/>
        <v>p-thru</v>
      </c>
      <c r="CQ14" s="591" t="str">
        <f t="shared" si="98"/>
        <v>TOP</v>
      </c>
      <c r="CR14" s="591" t="str">
        <f t="shared" si="99"/>
        <v/>
      </c>
      <c r="CS14" s="591" t="str">
        <f t="shared" si="100"/>
        <v/>
      </c>
      <c r="CT14" s="591" t="str">
        <f t="shared" si="101"/>
        <v/>
      </c>
      <c r="CU14" s="591" t="str">
        <f t="shared" si="102"/>
        <v/>
      </c>
      <c r="CV14" s="591" t="str">
        <f t="shared" si="103"/>
        <v/>
      </c>
      <c r="CW14" s="591" t="str">
        <f t="shared" si="104"/>
        <v/>
      </c>
      <c r="CX14" s="804" t="str">
        <f t="shared" si="105"/>
        <v/>
      </c>
      <c r="CY14" s="813">
        <f>IF(VLOOKUP(A14,'TIS Site Config'!$A$4:$AQ$51,6,FALSE)="Non-heated",COUNTIF($CG14:$CX14,$DT$3),0)</f>
        <v>0</v>
      </c>
      <c r="CZ14" s="592">
        <f>IF(OR(VLOOKUP(A14,'TIS Site Config'!$A$4:$AQ$51,6,FALSE)="Heated",VLOOKUP(A14,'TIS Site Config'!$A$4:$AQ$51,6,FALSE)="Extreme Heated"),COUNTIF($CG14:$CX14,$DT$3),0)</f>
        <v>1</v>
      </c>
      <c r="DA14" s="592">
        <f>IF(VLOOKUP(A14,'TIS Site Config'!$A$4:$AQ$51,6,FALSE)="Non-heated",COUNTIF($CG14:$CX14,$DU$3),0)</f>
        <v>0</v>
      </c>
      <c r="DB14" s="592">
        <f>IF(OR(VLOOKUP(A14,'TIS Site Config'!$A$4:$AQ$51,6,FALSE)="Heated",VLOOKUP(A14,'TIS Site Config'!$A$4:$AQ$51,6,FALSE)="Extreme heated"),COUNTIF($CG14:$CX14,$DU$3),0)</f>
        <v>0</v>
      </c>
      <c r="DC14" s="592">
        <f>IF(VLOOKUP(A14,'TIS Site Config'!$A$4:$AQ$51,6,FALSE)="Non-heated",COUNTIF($CG14:$CX14,$DW$3),0)</f>
        <v>0</v>
      </c>
      <c r="DD14" s="592">
        <f>IF(OR(VLOOKUP(A14,'TIS Site Config'!$A$4:$AQ$51,6,FALSE)="Heated",VLOOKUP(A14,'TIS Site Config'!$A$4:$AQ$51,6,FALSE)="Extreme heated"),COUNTIF($CG14:$CX14,$DW$3),0)</f>
        <v>4</v>
      </c>
      <c r="DE14" s="592">
        <f t="shared" si="132"/>
        <v>5</v>
      </c>
      <c r="DF14" s="592">
        <f>IF(VLOOKUP(A14,'TIS Site Config'!$A$4:$AQ$51,6,FALSE)="Non-heated",COUNTIF($CG14:$CX14,$DX$3),0)</f>
        <v>0</v>
      </c>
      <c r="DG14" s="592">
        <f>IF(OR(VLOOKUP(A14,'TIS Site Config'!$A$4:$AQ$51,6,FALSE)="Heated",VLOOKUP(A14,'TIS Site Config'!$A$4:$AQ$51,6,FALSE)="Extreme heated"),COUNTIF($CG14:$CX14,$DX$3),0)</f>
        <v>1</v>
      </c>
      <c r="DH14" s="818"/>
      <c r="DI14" s="810">
        <f t="shared" si="133"/>
        <v>0</v>
      </c>
      <c r="DJ14" s="355">
        <f t="shared" si="134"/>
        <v>0</v>
      </c>
      <c r="DK14" s="355">
        <f t="shared" si="135"/>
        <v>5</v>
      </c>
      <c r="DL14" s="603">
        <v>1</v>
      </c>
      <c r="DM14" s="604">
        <f t="shared" si="106"/>
        <v>6</v>
      </c>
      <c r="DN14" s="883">
        <f t="shared" si="136"/>
        <v>0</v>
      </c>
      <c r="DO14" s="593">
        <f t="shared" si="107"/>
        <v>3</v>
      </c>
      <c r="DP14" s="593">
        <f t="shared" si="108"/>
        <v>5</v>
      </c>
      <c r="DR14" s="504">
        <f t="shared" si="109"/>
        <v>11</v>
      </c>
      <c r="DS14" s="504">
        <f t="shared" si="110"/>
        <v>0</v>
      </c>
      <c r="DT14" s="504">
        <f t="shared" si="111"/>
        <v>0</v>
      </c>
      <c r="DZ14" s="835">
        <f t="shared" si="137"/>
        <v>-0.11696194225721786</v>
      </c>
      <c r="EA14" s="836">
        <f t="shared" si="112"/>
        <v>2.1796259842519685</v>
      </c>
      <c r="EB14" s="836">
        <f t="shared" si="113"/>
        <v>4.5656913624433306</v>
      </c>
      <c r="EC14" s="836">
        <f t="shared" si="114"/>
        <v>6.7728018372703414</v>
      </c>
      <c r="ED14" s="836">
        <f t="shared" si="115"/>
        <v>7.7570538057742793</v>
      </c>
      <c r="EE14" s="836">
        <f t="shared" si="116"/>
        <v>11</v>
      </c>
      <c r="EF14" s="836">
        <f t="shared" si="117"/>
        <v>100</v>
      </c>
      <c r="EG14" s="837">
        <f t="shared" si="118"/>
        <v>100</v>
      </c>
      <c r="EH14" s="1053">
        <f t="shared" si="119"/>
        <v>100</v>
      </c>
      <c r="EI14" s="1053">
        <f t="shared" si="120"/>
        <v>100</v>
      </c>
      <c r="EJ14" s="1053">
        <f t="shared" si="121"/>
        <v>11</v>
      </c>
      <c r="EK14" s="1053">
        <f t="shared" si="122"/>
        <v>7.7570538057742793</v>
      </c>
      <c r="EL14" s="1053">
        <f t="shared" si="123"/>
        <v>6.7728018372703414</v>
      </c>
      <c r="EM14" s="1053">
        <f t="shared" si="124"/>
        <v>4.5656913624433306</v>
      </c>
      <c r="EN14" s="1053">
        <f t="shared" si="125"/>
        <v>2.1796259842519685</v>
      </c>
      <c r="EO14" s="1053">
        <f t="shared" si="126"/>
        <v>-0.11696194225721786</v>
      </c>
      <c r="EP14" s="1065" t="str">
        <f t="shared" si="127"/>
        <v>ML1.5</v>
      </c>
      <c r="EQ14" s="835"/>
      <c r="ER14" s="837" t="str">
        <f t="shared" si="128"/>
        <v>ML1</v>
      </c>
      <c r="ES14" s="837" t="str">
        <f t="shared" si="138"/>
        <v>ML5.5</v>
      </c>
    </row>
    <row r="15" spans="1:152" s="504" customFormat="1" x14ac:dyDescent="0.25">
      <c r="A15" s="514" t="s">
        <v>209</v>
      </c>
      <c r="B15" s="753" t="str">
        <f>VLOOKUP($A15,'TIS Site Config'!$A$3:$AQ$51,2,FALSE)</f>
        <v>D05</v>
      </c>
      <c r="C15" s="753" t="str">
        <f>IF(VLOOKUP($A15,'TIS Site Config'!$A$3:$AQ$51,3,FALSE)&lt;&gt;"",
              VLOOKUP($A15,'TIS Site Config'!$A$3:$AQ$51,3,FALSE),"")</f>
        <v/>
      </c>
      <c r="D15" s="932" t="str">
        <f>VLOOKUP($A15,'TIS Site Config'!$A$3:$AQ$51,4,FALSE)</f>
        <v>Steigerwaldt Land Services</v>
      </c>
      <c r="E15" s="784">
        <f t="shared" si="129"/>
        <v>6</v>
      </c>
      <c r="F15" s="864"/>
      <c r="G15" s="506">
        <v>0.3</v>
      </c>
      <c r="H15" s="506">
        <v>2.77</v>
      </c>
      <c r="I15" s="506">
        <v>6.12</v>
      </c>
      <c r="J15" s="506">
        <v>9.48</v>
      </c>
      <c r="K15" s="506">
        <v>14.62</v>
      </c>
      <c r="L15" s="506">
        <v>21.59</v>
      </c>
      <c r="M15" s="506"/>
      <c r="N15" s="507"/>
      <c r="O15" s="615">
        <v>70</v>
      </c>
      <c r="P15" s="616" t="s">
        <v>139</v>
      </c>
      <c r="Q15" s="770">
        <f t="shared" si="130"/>
        <v>6</v>
      </c>
      <c r="R15" s="611">
        <v>1</v>
      </c>
      <c r="S15" s="611"/>
      <c r="T15" s="366" t="s">
        <v>204</v>
      </c>
      <c r="U15" s="366" t="s">
        <v>204</v>
      </c>
      <c r="V15" s="366" t="s">
        <v>204</v>
      </c>
      <c r="W15" s="366" t="s">
        <v>203</v>
      </c>
      <c r="X15" s="366" t="s">
        <v>203</v>
      </c>
      <c r="Y15" s="366" t="s">
        <v>203</v>
      </c>
      <c r="Z15" s="366"/>
      <c r="AA15" s="366"/>
      <c r="AB15" s="366"/>
      <c r="AC15" s="366"/>
      <c r="AD15" s="366"/>
      <c r="AE15" s="366"/>
      <c r="AF15" s="366"/>
      <c r="AG15" s="366"/>
      <c r="AH15" s="366"/>
      <c r="AI15" s="366"/>
      <c r="AJ15" s="366"/>
      <c r="AK15" s="605"/>
      <c r="AL15" s="508">
        <v>3</v>
      </c>
      <c r="AM15" s="773">
        <f t="shared" si="131"/>
        <v>8</v>
      </c>
      <c r="AN15" s="506"/>
      <c r="AO15" s="787">
        <f t="shared" si="76"/>
        <v>0.58333333333333337</v>
      </c>
      <c r="AP15" s="841">
        <v>0.3</v>
      </c>
      <c r="AQ15" s="842">
        <v>2.77</v>
      </c>
      <c r="AR15" s="842">
        <v>6.12</v>
      </c>
      <c r="AS15" s="842">
        <v>9.48</v>
      </c>
      <c r="AT15" s="842">
        <v>14.62</v>
      </c>
      <c r="AU15" s="842">
        <v>21.59</v>
      </c>
      <c r="AV15" s="842"/>
      <c r="AW15" s="843"/>
      <c r="AX15" s="854">
        <v>0.3</v>
      </c>
      <c r="AY15" s="855">
        <v>2.77</v>
      </c>
      <c r="AZ15" s="855">
        <v>6.12</v>
      </c>
      <c r="BA15" s="855">
        <v>9.48</v>
      </c>
      <c r="BB15" s="855">
        <v>14.62</v>
      </c>
      <c r="BC15" s="855">
        <v>21.59</v>
      </c>
      <c r="BD15" s="855">
        <v>0</v>
      </c>
      <c r="BE15" s="856">
        <v>0</v>
      </c>
      <c r="BF15" s="792">
        <f t="shared" si="77"/>
        <v>3.6447148651873061E-2</v>
      </c>
      <c r="BG15" s="598">
        <f t="shared" si="78"/>
        <v>0.77314483416845614</v>
      </c>
      <c r="BH15" s="598">
        <f t="shared" si="79"/>
        <v>1.7723097112860893</v>
      </c>
      <c r="BI15" s="598">
        <f t="shared" si="80"/>
        <v>2.7744571701264618</v>
      </c>
      <c r="BJ15" s="598">
        <f t="shared" si="81"/>
        <v>4.3075041756144117</v>
      </c>
      <c r="BK15" s="598">
        <f t="shared" si="82"/>
        <v>6</v>
      </c>
      <c r="BL15" s="598">
        <f t="shared" si="83"/>
        <v>0</v>
      </c>
      <c r="BM15" s="793">
        <f t="shared" si="84"/>
        <v>0</v>
      </c>
      <c r="BN15" s="801">
        <f t="shared" si="139"/>
        <v>2</v>
      </c>
      <c r="BO15" s="366">
        <f t="shared" si="86"/>
        <v>1</v>
      </c>
      <c r="BP15" s="366">
        <f t="shared" si="86"/>
        <v>1</v>
      </c>
      <c r="BQ15" s="366">
        <f t="shared" si="86"/>
        <v>0</v>
      </c>
      <c r="BR15" s="366">
        <f t="shared" si="86"/>
        <v>1</v>
      </c>
      <c r="BS15" s="366">
        <f t="shared" si="86"/>
        <v>0</v>
      </c>
      <c r="BT15" s="366">
        <f t="shared" si="86"/>
        <v>1</v>
      </c>
      <c r="BU15" s="366" t="str">
        <f t="shared" si="86"/>
        <v/>
      </c>
      <c r="BV15" s="366" t="str">
        <f t="shared" si="86"/>
        <v/>
      </c>
      <c r="BW15" s="366" t="str">
        <f t="shared" si="86"/>
        <v/>
      </c>
      <c r="BX15" s="366" t="str">
        <f t="shared" si="86"/>
        <v/>
      </c>
      <c r="BY15" s="366" t="str">
        <f t="shared" si="87"/>
        <v/>
      </c>
      <c r="BZ15" s="366" t="str">
        <f t="shared" si="87"/>
        <v/>
      </c>
      <c r="CA15" s="366" t="str">
        <f t="shared" si="87"/>
        <v/>
      </c>
      <c r="CB15" s="366" t="str">
        <f t="shared" si="87"/>
        <v/>
      </c>
      <c r="CC15" s="366" t="str">
        <f t="shared" si="87"/>
        <v/>
      </c>
      <c r="CD15" s="366" t="str">
        <f t="shared" si="87"/>
        <v/>
      </c>
      <c r="CE15" s="366" t="str">
        <f t="shared" si="87"/>
        <v/>
      </c>
      <c r="CF15" s="798" t="str">
        <f t="shared" si="87"/>
        <v/>
      </c>
      <c r="CG15" s="805" t="str">
        <f t="shared" si="88"/>
        <v>B, ML above</v>
      </c>
      <c r="CH15" s="594" t="str">
        <f t="shared" si="89"/>
        <v>ML</v>
      </c>
      <c r="CI15" s="594" t="str">
        <f t="shared" si="90"/>
        <v>p-thru</v>
      </c>
      <c r="CJ15" s="594" t="str">
        <f t="shared" si="91"/>
        <v>ML</v>
      </c>
      <c r="CK15" s="594" t="str">
        <f t="shared" si="92"/>
        <v>p-thru</v>
      </c>
      <c r="CL15" s="594" t="str">
        <f t="shared" si="93"/>
        <v>TOP</v>
      </c>
      <c r="CM15" s="594" t="str">
        <f t="shared" si="94"/>
        <v/>
      </c>
      <c r="CN15" s="594" t="str">
        <f t="shared" si="95"/>
        <v/>
      </c>
      <c r="CO15" s="594" t="str">
        <f t="shared" si="96"/>
        <v/>
      </c>
      <c r="CP15" s="594" t="str">
        <f t="shared" si="97"/>
        <v/>
      </c>
      <c r="CQ15" s="594" t="str">
        <f t="shared" si="98"/>
        <v/>
      </c>
      <c r="CR15" s="594" t="str">
        <f t="shared" si="99"/>
        <v/>
      </c>
      <c r="CS15" s="594" t="str">
        <f t="shared" si="100"/>
        <v/>
      </c>
      <c r="CT15" s="594" t="str">
        <f t="shared" si="101"/>
        <v/>
      </c>
      <c r="CU15" s="594" t="str">
        <f t="shared" si="102"/>
        <v/>
      </c>
      <c r="CV15" s="594" t="str">
        <f t="shared" si="103"/>
        <v/>
      </c>
      <c r="CW15" s="594" t="str">
        <f t="shared" si="104"/>
        <v/>
      </c>
      <c r="CX15" s="806" t="str">
        <f t="shared" si="105"/>
        <v/>
      </c>
      <c r="CY15" s="815">
        <f>IF(VLOOKUP(A15,'TIS Site Config'!$A$4:$AQ$51,6,FALSE)="Non-heated",COUNTIF($CG15:$CX15,$DT$3),0)</f>
        <v>0</v>
      </c>
      <c r="CZ15" s="738">
        <f>IF(OR(VLOOKUP(A15,'TIS Site Config'!$A$4:$AQ$51,6,FALSE)="Heated",VLOOKUP(A15,'TIS Site Config'!$A$4:$AQ$51,6,FALSE)="Extreme Heated"),COUNTIF($CG15:$CX15,$DT$3),0)</f>
        <v>0</v>
      </c>
      <c r="DA15" s="738">
        <f>IF(VLOOKUP(A15,'TIS Site Config'!$A$4:$AQ$51,6,FALSE)="Non-heated",COUNTIF($CG15:$CX15,$DU$3),0)</f>
        <v>0</v>
      </c>
      <c r="DB15" s="738">
        <f>IF(OR(VLOOKUP(A15,'TIS Site Config'!$A$4:$AQ$51,6,FALSE)="Heated",VLOOKUP(A15,'TIS Site Config'!$A$4:$AQ$51,6,FALSE)="Extreme heated"),COUNTIF($CG15:$CX15,$DU$3),0)</f>
        <v>1</v>
      </c>
      <c r="DC15" s="738">
        <f>IF(VLOOKUP(A15,'TIS Site Config'!$A$4:$AQ$51,6,FALSE)="Non-heated",COUNTIF($CG15:$CX15,$DW$3),0)</f>
        <v>0</v>
      </c>
      <c r="DD15" s="738">
        <f>IF(OR(VLOOKUP(A15,'TIS Site Config'!$A$4:$AQ$51,6,FALSE)="Heated",VLOOKUP(A15,'TIS Site Config'!$A$4:$AQ$51,6,FALSE)="Extreme heated"),COUNTIF($CG15:$CX15,$DW$3),0)</f>
        <v>2</v>
      </c>
      <c r="DE15" s="738">
        <f t="shared" si="132"/>
        <v>2</v>
      </c>
      <c r="DF15" s="738">
        <f>IF(VLOOKUP(A15,'TIS Site Config'!$A$4:$AQ$51,6,FALSE)="Non-heated",COUNTIF($CG15:$CX15,$DX$3),0)</f>
        <v>0</v>
      </c>
      <c r="DG15" s="738">
        <f>IF(OR(VLOOKUP(A15,'TIS Site Config'!$A$4:$AQ$51,6,FALSE)="Heated",VLOOKUP(A15,'TIS Site Config'!$A$4:$AQ$51,6,FALSE)="Extreme heated"),COUNTIF($CG15:$CX15,$DX$3),0)</f>
        <v>1</v>
      </c>
      <c r="DH15" s="812"/>
      <c r="DI15" s="790">
        <f t="shared" si="133"/>
        <v>3</v>
      </c>
      <c r="DJ15" s="357">
        <f t="shared" si="134"/>
        <v>1</v>
      </c>
      <c r="DK15" s="357">
        <f t="shared" si="135"/>
        <v>1</v>
      </c>
      <c r="DL15" s="606">
        <v>1</v>
      </c>
      <c r="DM15" s="607">
        <f t="shared" si="106"/>
        <v>6</v>
      </c>
      <c r="DN15" s="883">
        <f t="shared" si="136"/>
        <v>0</v>
      </c>
      <c r="DO15" s="593">
        <f t="shared" si="107"/>
        <v>1</v>
      </c>
      <c r="DP15" s="593">
        <f t="shared" si="108"/>
        <v>2</v>
      </c>
      <c r="DR15" s="504">
        <f t="shared" si="109"/>
        <v>3</v>
      </c>
      <c r="DS15" s="504">
        <f t="shared" si="110"/>
        <v>3</v>
      </c>
      <c r="DT15" s="504">
        <f t="shared" si="111"/>
        <v>0</v>
      </c>
      <c r="DZ15" s="792">
        <f t="shared" si="137"/>
        <v>3.6447148651873061E-2</v>
      </c>
      <c r="EA15" s="598">
        <f t="shared" si="112"/>
        <v>0.77314483416845614</v>
      </c>
      <c r="EB15" s="598">
        <f t="shared" si="113"/>
        <v>1.7723097112860893</v>
      </c>
      <c r="EC15" s="598">
        <f t="shared" si="114"/>
        <v>2.7744571701264618</v>
      </c>
      <c r="ED15" s="598">
        <f t="shared" si="115"/>
        <v>4.3075041756144117</v>
      </c>
      <c r="EE15" s="598">
        <f t="shared" si="116"/>
        <v>6</v>
      </c>
      <c r="EF15" s="598">
        <f t="shared" si="117"/>
        <v>100</v>
      </c>
      <c r="EG15" s="793">
        <f t="shared" si="118"/>
        <v>100</v>
      </c>
      <c r="EH15" s="1055">
        <f t="shared" si="119"/>
        <v>100</v>
      </c>
      <c r="EI15" s="1055">
        <f t="shared" si="120"/>
        <v>100</v>
      </c>
      <c r="EJ15" s="1055">
        <f t="shared" si="121"/>
        <v>6</v>
      </c>
      <c r="EK15" s="1055">
        <f t="shared" si="122"/>
        <v>4.3075041756144117</v>
      </c>
      <c r="EL15" s="1055">
        <f t="shared" si="123"/>
        <v>2.7744571701264618</v>
      </c>
      <c r="EM15" s="1055">
        <f t="shared" si="124"/>
        <v>1.7723097112860893</v>
      </c>
      <c r="EN15" s="1055">
        <f t="shared" si="125"/>
        <v>0.77314483416845614</v>
      </c>
      <c r="EO15" s="1055">
        <f t="shared" si="126"/>
        <v>3.6447148651873061E-2</v>
      </c>
      <c r="EP15" s="1068" t="str">
        <f t="shared" si="127"/>
        <v>ML2.5</v>
      </c>
      <c r="EQ15" s="792"/>
      <c r="ER15" s="793" t="e">
        <f t="shared" si="128"/>
        <v>#N/A</v>
      </c>
      <c r="ES15" s="793" t="str">
        <f t="shared" si="138"/>
        <v>ML5.5</v>
      </c>
    </row>
    <row r="16" spans="1:152" s="504" customFormat="1" ht="15.75" thickBot="1" x14ac:dyDescent="0.3">
      <c r="A16" s="377" t="s">
        <v>210</v>
      </c>
      <c r="B16" s="761" t="str">
        <f>VLOOKUP($A16,'TIS Site Config'!$A$3:$AQ$51,2,FALSE)</f>
        <v>D05</v>
      </c>
      <c r="C16" s="751" t="str">
        <f>IF(VLOOKUP($A16,'TIS Site Config'!$A$3:$AQ$51,3,FALSE)&lt;&gt;"",
              VLOOKUP($A16,'TIS Site Config'!$A$3:$AQ$51,3,FALSE),"")</f>
        <v>D-FY15-3</v>
      </c>
      <c r="D16" s="933" t="str">
        <f>VLOOKUP($A16,'TIS Site Config'!$A$3:$AQ$51,4,FALSE)</f>
        <v>Treehaven</v>
      </c>
      <c r="E16" s="785">
        <f t="shared" si="129"/>
        <v>6</v>
      </c>
      <c r="F16" s="865"/>
      <c r="G16" s="373">
        <v>0.3</v>
      </c>
      <c r="H16" s="373">
        <v>0.8</v>
      </c>
      <c r="I16" s="373">
        <v>10</v>
      </c>
      <c r="J16" s="373">
        <v>23</v>
      </c>
      <c r="K16" s="373">
        <v>27</v>
      </c>
      <c r="L16" s="373">
        <v>35</v>
      </c>
      <c r="M16" s="373"/>
      <c r="N16" s="374"/>
      <c r="O16" s="617">
        <v>116</v>
      </c>
      <c r="P16" s="618" t="s">
        <v>138</v>
      </c>
      <c r="Q16" s="771">
        <f t="shared" si="130"/>
        <v>10</v>
      </c>
      <c r="R16" s="612">
        <v>1</v>
      </c>
      <c r="S16" s="612"/>
      <c r="T16" s="371" t="s">
        <v>203</v>
      </c>
      <c r="U16" s="371" t="s">
        <v>203</v>
      </c>
      <c r="V16" s="371" t="s">
        <v>203</v>
      </c>
      <c r="W16" s="371" t="s">
        <v>203</v>
      </c>
      <c r="X16" s="371" t="s">
        <v>203</v>
      </c>
      <c r="Y16" s="371" t="s">
        <v>203</v>
      </c>
      <c r="Z16" s="371" t="s">
        <v>203</v>
      </c>
      <c r="AA16" s="371" t="s">
        <v>203</v>
      </c>
      <c r="AB16" s="371" t="s">
        <v>203</v>
      </c>
      <c r="AC16" s="371" t="s">
        <v>203</v>
      </c>
      <c r="AD16" s="371"/>
      <c r="AE16" s="371"/>
      <c r="AF16" s="371"/>
      <c r="AG16" s="371"/>
      <c r="AH16" s="371"/>
      <c r="AI16" s="371"/>
      <c r="AJ16" s="371"/>
      <c r="AK16" s="608"/>
      <c r="AL16" s="375">
        <v>3</v>
      </c>
      <c r="AM16" s="774">
        <f t="shared" si="131"/>
        <v>25.5</v>
      </c>
      <c r="AN16" s="373"/>
      <c r="AO16" s="788">
        <f t="shared" si="76"/>
        <v>2.0416666666666665</v>
      </c>
      <c r="AP16" s="844">
        <v>0.3</v>
      </c>
      <c r="AQ16" s="845">
        <v>0.8</v>
      </c>
      <c r="AR16" s="845">
        <v>10</v>
      </c>
      <c r="AS16" s="845">
        <v>23</v>
      </c>
      <c r="AT16" s="845">
        <v>27</v>
      </c>
      <c r="AU16" s="845">
        <v>35</v>
      </c>
      <c r="AV16" s="845"/>
      <c r="AW16" s="846"/>
      <c r="AX16" s="857">
        <v>0.3</v>
      </c>
      <c r="AY16" s="858">
        <v>0.8</v>
      </c>
      <c r="AZ16" s="858">
        <v>10</v>
      </c>
      <c r="BA16" s="858">
        <v>23</v>
      </c>
      <c r="BB16" s="858">
        <v>27</v>
      </c>
      <c r="BC16" s="858">
        <v>35</v>
      </c>
      <c r="BD16" s="858">
        <v>0</v>
      </c>
      <c r="BE16" s="859">
        <v>0</v>
      </c>
      <c r="BF16" s="794">
        <f t="shared" si="77"/>
        <v>-9.6128608923884501E-2</v>
      </c>
      <c r="BG16" s="599">
        <f t="shared" si="78"/>
        <v>5.3000477213075659E-2</v>
      </c>
      <c r="BH16" s="599">
        <f t="shared" si="79"/>
        <v>2.7969756621331423</v>
      </c>
      <c r="BI16" s="599">
        <f t="shared" si="80"/>
        <v>6.6743319016941056</v>
      </c>
      <c r="BJ16" s="599">
        <f t="shared" si="81"/>
        <v>7.8673645907897871</v>
      </c>
      <c r="BK16" s="599">
        <f t="shared" si="82"/>
        <v>10</v>
      </c>
      <c r="BL16" s="599">
        <f t="shared" si="83"/>
        <v>0</v>
      </c>
      <c r="BM16" s="795">
        <f t="shared" si="84"/>
        <v>0</v>
      </c>
      <c r="BN16" s="802">
        <f t="shared" si="139"/>
        <v>2</v>
      </c>
      <c r="BO16" s="371">
        <f t="shared" si="86"/>
        <v>0</v>
      </c>
      <c r="BP16" s="372">
        <f t="shared" si="86"/>
        <v>1</v>
      </c>
      <c r="BQ16" s="372">
        <f t="shared" si="86"/>
        <v>0</v>
      </c>
      <c r="BR16" s="371">
        <f t="shared" si="86"/>
        <v>0</v>
      </c>
      <c r="BS16" s="371">
        <f t="shared" si="86"/>
        <v>0</v>
      </c>
      <c r="BT16" s="371">
        <f t="shared" si="86"/>
        <v>1</v>
      </c>
      <c r="BU16" s="372">
        <f t="shared" si="86"/>
        <v>1</v>
      </c>
      <c r="BV16" s="372">
        <f t="shared" si="86"/>
        <v>0</v>
      </c>
      <c r="BW16" s="371">
        <f t="shared" si="86"/>
        <v>0</v>
      </c>
      <c r="BX16" s="371">
        <f t="shared" si="86"/>
        <v>1</v>
      </c>
      <c r="BY16" s="371" t="str">
        <f t="shared" si="87"/>
        <v/>
      </c>
      <c r="BZ16" s="371" t="str">
        <f t="shared" si="87"/>
        <v/>
      </c>
      <c r="CA16" s="371" t="str">
        <f t="shared" si="87"/>
        <v/>
      </c>
      <c r="CB16" s="371" t="str">
        <f t="shared" si="87"/>
        <v/>
      </c>
      <c r="CC16" s="371" t="str">
        <f t="shared" si="87"/>
        <v/>
      </c>
      <c r="CD16" s="371" t="str">
        <f t="shared" si="87"/>
        <v/>
      </c>
      <c r="CE16" s="371" t="str">
        <f t="shared" si="87"/>
        <v/>
      </c>
      <c r="CF16" s="799" t="str">
        <f t="shared" si="87"/>
        <v/>
      </c>
      <c r="CG16" s="807" t="str">
        <f t="shared" si="88"/>
        <v>B, p-thru above</v>
      </c>
      <c r="CH16" s="595" t="str">
        <f t="shared" si="89"/>
        <v>ML</v>
      </c>
      <c r="CI16" s="595" t="str">
        <f t="shared" si="90"/>
        <v>p-thru</v>
      </c>
      <c r="CJ16" s="595" t="str">
        <f t="shared" si="91"/>
        <v>p-thru</v>
      </c>
      <c r="CK16" s="595" t="str">
        <f t="shared" si="92"/>
        <v>p-thru</v>
      </c>
      <c r="CL16" s="595" t="str">
        <f t="shared" si="93"/>
        <v>ML</v>
      </c>
      <c r="CM16" s="595" t="str">
        <f t="shared" si="94"/>
        <v>ML</v>
      </c>
      <c r="CN16" s="595" t="str">
        <f t="shared" si="95"/>
        <v>p-thru</v>
      </c>
      <c r="CO16" s="595" t="str">
        <f t="shared" si="96"/>
        <v>p-thru</v>
      </c>
      <c r="CP16" s="595" t="str">
        <f t="shared" si="97"/>
        <v>TOP</v>
      </c>
      <c r="CQ16" s="595" t="str">
        <f t="shared" si="98"/>
        <v/>
      </c>
      <c r="CR16" s="595" t="str">
        <f t="shared" si="99"/>
        <v/>
      </c>
      <c r="CS16" s="595" t="str">
        <f t="shared" si="100"/>
        <v/>
      </c>
      <c r="CT16" s="595" t="str">
        <f t="shared" si="101"/>
        <v/>
      </c>
      <c r="CU16" s="595" t="str">
        <f t="shared" si="102"/>
        <v/>
      </c>
      <c r="CV16" s="595" t="str">
        <f t="shared" si="103"/>
        <v/>
      </c>
      <c r="CW16" s="595" t="str">
        <f t="shared" si="104"/>
        <v/>
      </c>
      <c r="CX16" s="808" t="str">
        <f t="shared" si="105"/>
        <v/>
      </c>
      <c r="CY16" s="816">
        <f>IF(VLOOKUP(A16,'TIS Site Config'!$A$4:$AQ$51,6,FALSE)="Non-heated",COUNTIF($CG16:$CX16,$DT$3),0)</f>
        <v>0</v>
      </c>
      <c r="CZ16" s="596">
        <f>IF(OR(VLOOKUP(A16,'TIS Site Config'!$A$4:$AQ$51,6,FALSE)="Heated",VLOOKUP(A16,'TIS Site Config'!$A$4:$AQ$51,6,FALSE)="Extreme Heated"),COUNTIF($CG16:$CX16,$DT$3),0)</f>
        <v>1</v>
      </c>
      <c r="DA16" s="596">
        <f>IF(VLOOKUP(A16,'TIS Site Config'!$A$4:$AQ$51,6,FALSE)="Non-heated",COUNTIF($CG16:$CX16,$DU$3),0)</f>
        <v>0</v>
      </c>
      <c r="DB16" s="596">
        <f>IF(OR(VLOOKUP(A16,'TIS Site Config'!$A$4:$AQ$51,6,FALSE)="Heated",VLOOKUP(A16,'TIS Site Config'!$A$4:$AQ$51,6,FALSE)="Extreme heated"),COUNTIF($CG16:$CX16,$DU$3),0)</f>
        <v>0</v>
      </c>
      <c r="DC16" s="596">
        <f>IF(VLOOKUP(A16,'TIS Site Config'!$A$4:$AQ$51,6,FALSE)="Non-heated",COUNTIF($CG16:$CX16,$DW$3),0)</f>
        <v>0</v>
      </c>
      <c r="DD16" s="596">
        <f>IF(OR(VLOOKUP(A16,'TIS Site Config'!$A$4:$AQ$51,6,FALSE)="Heated",VLOOKUP(A16,'TIS Site Config'!$A$4:$AQ$51,6,FALSE)="Extreme heated"),COUNTIF($CG16:$CX16,$DW$3),0)</f>
        <v>3</v>
      </c>
      <c r="DE16" s="596">
        <f t="shared" si="132"/>
        <v>5</v>
      </c>
      <c r="DF16" s="596">
        <f>IF(VLOOKUP(A16,'TIS Site Config'!$A$4:$AQ$51,6,FALSE)="Non-heated",COUNTIF($CG16:$CX16,$DX$3),0)</f>
        <v>0</v>
      </c>
      <c r="DG16" s="596">
        <f>IF(OR(VLOOKUP(A16,'TIS Site Config'!$A$4:$AQ$51,6,FALSE)="Heated",VLOOKUP(A16,'TIS Site Config'!$A$4:$AQ$51,6,FALSE)="Extreme heated"),COUNTIF($CG16:$CX16,$DX$3),0)</f>
        <v>1</v>
      </c>
      <c r="DH16" s="817"/>
      <c r="DI16" s="791">
        <f t="shared" si="133"/>
        <v>0</v>
      </c>
      <c r="DJ16" s="365">
        <f t="shared" si="134"/>
        <v>0</v>
      </c>
      <c r="DK16" s="365">
        <f t="shared" si="135"/>
        <v>5</v>
      </c>
      <c r="DL16" s="376">
        <v>1</v>
      </c>
      <c r="DM16" s="609">
        <f t="shared" si="106"/>
        <v>6</v>
      </c>
      <c r="DN16" s="883">
        <f t="shared" si="136"/>
        <v>0</v>
      </c>
      <c r="DO16" s="593">
        <f t="shared" si="107"/>
        <v>1</v>
      </c>
      <c r="DP16" s="593">
        <f t="shared" si="108"/>
        <v>3</v>
      </c>
      <c r="DR16" s="504">
        <f t="shared" si="109"/>
        <v>10</v>
      </c>
      <c r="DS16" s="504">
        <f t="shared" si="110"/>
        <v>0</v>
      </c>
      <c r="DT16" s="504">
        <f t="shared" si="111"/>
        <v>0</v>
      </c>
      <c r="DZ16" s="794">
        <f t="shared" si="137"/>
        <v>-9.6128608923884501E-2</v>
      </c>
      <c r="EA16" s="599">
        <f t="shared" si="112"/>
        <v>5.3000477213075659E-2</v>
      </c>
      <c r="EB16" s="599">
        <f t="shared" si="113"/>
        <v>2.7969756621331423</v>
      </c>
      <c r="EC16" s="599">
        <f t="shared" si="114"/>
        <v>6.6743319016941056</v>
      </c>
      <c r="ED16" s="599">
        <f t="shared" si="115"/>
        <v>7.8673645907897871</v>
      </c>
      <c r="EE16" s="599">
        <f t="shared" si="116"/>
        <v>10</v>
      </c>
      <c r="EF16" s="599">
        <f t="shared" si="117"/>
        <v>100</v>
      </c>
      <c r="EG16" s="795">
        <f t="shared" si="118"/>
        <v>100</v>
      </c>
      <c r="EH16" s="1054">
        <f t="shared" si="119"/>
        <v>100</v>
      </c>
      <c r="EI16" s="1054">
        <f t="shared" si="120"/>
        <v>100</v>
      </c>
      <c r="EJ16" s="1054">
        <f t="shared" si="121"/>
        <v>10</v>
      </c>
      <c r="EK16" s="1054">
        <f t="shared" si="122"/>
        <v>7.8673645907897871</v>
      </c>
      <c r="EL16" s="1054">
        <f t="shared" si="123"/>
        <v>6.6743319016941056</v>
      </c>
      <c r="EM16" s="1054">
        <f t="shared" si="124"/>
        <v>2.7969756621331423</v>
      </c>
      <c r="EN16" s="1054">
        <f t="shared" si="125"/>
        <v>5.3000477213075659E-2</v>
      </c>
      <c r="EO16" s="1054">
        <f t="shared" si="126"/>
        <v>-9.6128608923884501E-2</v>
      </c>
      <c r="EP16" s="1070" t="str">
        <f t="shared" si="127"/>
        <v>ML2.5</v>
      </c>
      <c r="EQ16" s="794"/>
      <c r="ER16" s="795" t="str">
        <f t="shared" si="128"/>
        <v>ML1</v>
      </c>
      <c r="ES16" s="795" t="str">
        <f t="shared" si="138"/>
        <v>ML5.5</v>
      </c>
    </row>
    <row r="17" spans="1:149" s="504" customFormat="1" x14ac:dyDescent="0.25">
      <c r="A17" s="584" t="s">
        <v>231</v>
      </c>
      <c r="B17" s="930" t="str">
        <f>VLOOKUP($A17,'TIS Site Config'!$A$3:$AQ$51,2,FALSE)</f>
        <v>D06</v>
      </c>
      <c r="C17" s="934" t="str">
        <f>IF(VLOOKUP($A17,'TIS Site Config'!$A$3:$AQ$51,3,FALSE)&lt;&gt;"",
              VLOOKUP($A17,'TIS Site Config'!$A$3:$AQ$51,3,FALSE),"")</f>
        <v>C-FY15-2</v>
      </c>
      <c r="D17" s="931" t="str">
        <f>VLOOKUP($A17,'TIS Site Config'!$A$3:$AQ$51,4,FALSE)</f>
        <v>Konza Prairie Biological Station</v>
      </c>
      <c r="E17" s="784">
        <f t="shared" si="129"/>
        <v>4</v>
      </c>
      <c r="F17" s="864"/>
      <c r="G17" s="597">
        <v>0.2</v>
      </c>
      <c r="H17" s="597">
        <v>1.5</v>
      </c>
      <c r="I17" s="597">
        <v>3.8</v>
      </c>
      <c r="J17" s="597">
        <v>6</v>
      </c>
      <c r="K17" s="597"/>
      <c r="L17" s="597"/>
      <c r="M17" s="597"/>
      <c r="N17" s="826"/>
      <c r="O17" s="613">
        <v>26</v>
      </c>
      <c r="P17" s="614" t="s">
        <v>139</v>
      </c>
      <c r="Q17" s="770">
        <f t="shared" si="130"/>
        <v>2</v>
      </c>
      <c r="R17" s="611">
        <v>1</v>
      </c>
      <c r="S17" s="611"/>
      <c r="T17" s="368" t="s">
        <v>203</v>
      </c>
      <c r="U17" s="368" t="s">
        <v>203</v>
      </c>
      <c r="V17" s="368"/>
      <c r="W17" s="368"/>
      <c r="X17" s="368"/>
      <c r="Y17" s="368"/>
      <c r="Z17" s="368"/>
      <c r="AA17" s="368"/>
      <c r="AB17" s="368"/>
      <c r="AC17" s="368"/>
      <c r="AD17" s="368"/>
      <c r="AE17" s="368"/>
      <c r="AF17" s="368"/>
      <c r="AG17" s="368"/>
      <c r="AH17" s="368"/>
      <c r="AI17" s="368"/>
      <c r="AJ17" s="368"/>
      <c r="AK17" s="602"/>
      <c r="AL17" s="819">
        <v>10.5</v>
      </c>
      <c r="AM17" s="773">
        <f t="shared" si="131"/>
        <v>15.5</v>
      </c>
      <c r="AN17" s="597"/>
      <c r="AO17" s="787">
        <f t="shared" si="76"/>
        <v>1.2083333333333333</v>
      </c>
      <c r="AP17" s="838">
        <v>0.2</v>
      </c>
      <c r="AQ17" s="839">
        <v>1.5</v>
      </c>
      <c r="AR17" s="839">
        <v>3.8</v>
      </c>
      <c r="AS17" s="839">
        <v>6</v>
      </c>
      <c r="AT17" s="839"/>
      <c r="AU17" s="839"/>
      <c r="AV17" s="839"/>
      <c r="AW17" s="840"/>
      <c r="AX17" s="860">
        <v>0.2</v>
      </c>
      <c r="AY17" s="852">
        <v>1.5</v>
      </c>
      <c r="AZ17" s="852">
        <v>3.8</v>
      </c>
      <c r="BA17" s="852">
        <v>6</v>
      </c>
      <c r="BB17" s="852">
        <v>0</v>
      </c>
      <c r="BC17" s="852">
        <v>0</v>
      </c>
      <c r="BD17" s="852">
        <v>0</v>
      </c>
      <c r="BE17" s="853">
        <v>0</v>
      </c>
      <c r="BF17" s="835">
        <f t="shared" si="77"/>
        <v>-5.0196850393700782E-2</v>
      </c>
      <c r="BG17" s="836">
        <f t="shared" si="78"/>
        <v>0.33753877356239564</v>
      </c>
      <c r="BH17" s="836">
        <f t="shared" si="79"/>
        <v>1.0235325697924123</v>
      </c>
      <c r="BI17" s="836">
        <f t="shared" si="80"/>
        <v>2</v>
      </c>
      <c r="BJ17" s="836">
        <f t="shared" si="81"/>
        <v>0</v>
      </c>
      <c r="BK17" s="836">
        <f t="shared" si="82"/>
        <v>0</v>
      </c>
      <c r="BL17" s="836">
        <f t="shared" si="83"/>
        <v>0</v>
      </c>
      <c r="BM17" s="837">
        <f t="shared" si="84"/>
        <v>0</v>
      </c>
      <c r="BN17" s="800">
        <f t="shared" si="139"/>
        <v>2</v>
      </c>
      <c r="BO17" s="368">
        <f t="shared" ref="BO17:CB30" si="140">IF(VALUE(RIGHT(BO$3,2))&gt;MAX($BF17:$BM17)+1,"",SUMPRODUCT(($BF17:$BM17&gt;=VALUE((RIGHT(BO$3,2)-1)))*($BF17:$BM17&lt;VALUE((RIGHT(BO$3,2))))))</f>
        <v>1</v>
      </c>
      <c r="BP17" s="368">
        <f t="shared" si="140"/>
        <v>1</v>
      </c>
      <c r="BQ17" s="368" t="str">
        <f t="shared" si="140"/>
        <v/>
      </c>
      <c r="BR17" s="368" t="str">
        <f t="shared" si="140"/>
        <v/>
      </c>
      <c r="BS17" s="368" t="str">
        <f t="shared" si="140"/>
        <v/>
      </c>
      <c r="BT17" s="368" t="str">
        <f t="shared" si="140"/>
        <v/>
      </c>
      <c r="BU17" s="368" t="str">
        <f t="shared" si="140"/>
        <v/>
      </c>
      <c r="BV17" s="368" t="str">
        <f t="shared" si="140"/>
        <v/>
      </c>
      <c r="BW17" s="368" t="str">
        <f t="shared" si="140"/>
        <v/>
      </c>
      <c r="BX17" s="368" t="str">
        <f t="shared" si="140"/>
        <v/>
      </c>
      <c r="BY17" s="368" t="str">
        <f t="shared" si="140"/>
        <v/>
      </c>
      <c r="BZ17" s="368" t="str">
        <f t="shared" si="140"/>
        <v/>
      </c>
      <c r="CA17" s="368" t="str">
        <f t="shared" si="140"/>
        <v/>
      </c>
      <c r="CB17" s="368" t="str">
        <f t="shared" si="140"/>
        <v/>
      </c>
      <c r="CC17" s="368" t="str">
        <f t="shared" ref="CC17:CE33" si="141">IF(VALUE(RIGHT(CC$3,2))&gt;MAX($BF17:$BM17)+1,"",SUMPRODUCT(($BF17:$BM17&gt;=VALUE((RIGHT(CC$3,2)-1)))*($BF17:$BM17&lt;VALUE((RIGHT(CC$3,2))))))</f>
        <v/>
      </c>
      <c r="CD17" s="368" t="str">
        <f t="shared" si="141"/>
        <v/>
      </c>
      <c r="CE17" s="368" t="str">
        <f t="shared" si="141"/>
        <v/>
      </c>
      <c r="CF17" s="797" t="str">
        <f t="shared" ref="CF17:CF51" si="142">IF(VALUE(RIGHT(CF$3,2))&gt;MAX($BF17:$BM17)+1,"",SUMPRODUCT(($BF17:$BM17&gt;=VALUE((RIGHT(CF$3,2)-1)))*($BF17:$BM17&lt;VALUE((RIGHT(CF$3,2))))))</f>
        <v/>
      </c>
      <c r="CG17" s="803" t="str">
        <f t="shared" si="88"/>
        <v>B, ML above</v>
      </c>
      <c r="CH17" s="591" t="str">
        <f t="shared" si="89"/>
        <v>TOP</v>
      </c>
      <c r="CI17" s="591" t="str">
        <f t="shared" si="90"/>
        <v/>
      </c>
      <c r="CJ17" s="591" t="str">
        <f t="shared" si="91"/>
        <v/>
      </c>
      <c r="CK17" s="591" t="str">
        <f t="shared" si="92"/>
        <v/>
      </c>
      <c r="CL17" s="591" t="str">
        <f t="shared" si="93"/>
        <v/>
      </c>
      <c r="CM17" s="591" t="str">
        <f t="shared" si="94"/>
        <v/>
      </c>
      <c r="CN17" s="591" t="str">
        <f t="shared" si="95"/>
        <v/>
      </c>
      <c r="CO17" s="591" t="str">
        <f t="shared" si="96"/>
        <v/>
      </c>
      <c r="CP17" s="591" t="str">
        <f t="shared" si="97"/>
        <v/>
      </c>
      <c r="CQ17" s="591" t="str">
        <f t="shared" si="98"/>
        <v/>
      </c>
      <c r="CR17" s="591" t="str">
        <f t="shared" si="99"/>
        <v/>
      </c>
      <c r="CS17" s="591" t="str">
        <f t="shared" si="100"/>
        <v/>
      </c>
      <c r="CT17" s="591" t="str">
        <f t="shared" si="101"/>
        <v/>
      </c>
      <c r="CU17" s="591" t="str">
        <f t="shared" si="102"/>
        <v/>
      </c>
      <c r="CV17" s="591" t="str">
        <f t="shared" si="103"/>
        <v/>
      </c>
      <c r="CW17" s="591" t="str">
        <f t="shared" si="104"/>
        <v/>
      </c>
      <c r="CX17" s="804" t="str">
        <f t="shared" si="105"/>
        <v/>
      </c>
      <c r="CY17" s="813">
        <f>IF(VLOOKUP(A17,'TIS Site Config'!$A$4:$AQ$51,6,FALSE)="Non-heated",COUNTIF($CG17:$CX17,$DT$3),0)</f>
        <v>0</v>
      </c>
      <c r="CZ17" s="592">
        <f>IF(OR(VLOOKUP(A17,'TIS Site Config'!$A$4:$AQ$51,6,FALSE)="Heated",VLOOKUP(A17,'TIS Site Config'!$A$4:$AQ$51,6,FALSE)="Extreme Heated"),COUNTIF($CG17:$CX17,$DT$3),0)</f>
        <v>0</v>
      </c>
      <c r="DA17" s="592">
        <f>IF(VLOOKUP(A17,'TIS Site Config'!$A$4:$AQ$51,6,FALSE)="Non-heated",COUNTIF($CG17:$CX17,$DU$3),0)</f>
        <v>0</v>
      </c>
      <c r="DB17" s="592">
        <f>IF(OR(VLOOKUP(A17,'TIS Site Config'!$A$4:$AQ$51,6,FALSE)="Heated",VLOOKUP(A17,'TIS Site Config'!$A$4:$AQ$51,6,FALSE)="Extreme heated"),COUNTIF($CG17:$CX17,$DU$3),0)</f>
        <v>1</v>
      </c>
      <c r="DC17" s="592">
        <f>IF(VLOOKUP(A17,'TIS Site Config'!$A$4:$AQ$51,6,FALSE)="Non-heated",COUNTIF($CG17:$CX17,$DW$3),0)</f>
        <v>0</v>
      </c>
      <c r="DD17" s="592">
        <f>IF(OR(VLOOKUP(A17,'TIS Site Config'!$A$4:$AQ$51,6,FALSE)="Heated",VLOOKUP(A17,'TIS Site Config'!$A$4:$AQ$51,6,FALSE)="Extreme heated"),COUNTIF($CG17:$CX17,$DW$3),0)</f>
        <v>0</v>
      </c>
      <c r="DE17" s="592">
        <f t="shared" si="132"/>
        <v>0</v>
      </c>
      <c r="DF17" s="592">
        <f>IF(VLOOKUP(A17,'TIS Site Config'!$A$4:$AQ$51,6,FALSE)="Non-heated",COUNTIF($CG17:$CX17,$DX$3),0)</f>
        <v>0</v>
      </c>
      <c r="DG17" s="592">
        <f>IF(OR(VLOOKUP(A17,'TIS Site Config'!$A$4:$AQ$51,6,FALSE)="Heated",VLOOKUP(A17,'TIS Site Config'!$A$4:$AQ$51,6,FALSE)="Extreme heated"),COUNTIF($CG17:$CX17,$DX$3),0)</f>
        <v>1</v>
      </c>
      <c r="DH17" s="814"/>
      <c r="DI17" s="810">
        <f t="shared" si="133"/>
        <v>0</v>
      </c>
      <c r="DJ17" s="355">
        <f t="shared" si="134"/>
        <v>0</v>
      </c>
      <c r="DK17" s="355">
        <f t="shared" si="135"/>
        <v>3</v>
      </c>
      <c r="DL17" s="603">
        <v>1</v>
      </c>
      <c r="DM17" s="604">
        <f t="shared" si="106"/>
        <v>4</v>
      </c>
      <c r="DN17" s="883">
        <f t="shared" si="136"/>
        <v>0</v>
      </c>
      <c r="DO17" s="593">
        <f t="shared" si="107"/>
        <v>1</v>
      </c>
      <c r="DP17" s="593">
        <f t="shared" si="108"/>
        <v>2</v>
      </c>
      <c r="DR17" s="504">
        <f t="shared" si="109"/>
        <v>2</v>
      </c>
      <c r="DS17" s="504">
        <f t="shared" si="110"/>
        <v>0</v>
      </c>
      <c r="DT17" s="504">
        <f t="shared" si="111"/>
        <v>0</v>
      </c>
      <c r="DZ17" s="835">
        <f t="shared" si="137"/>
        <v>-5.0196850393700782E-2</v>
      </c>
      <c r="EA17" s="836">
        <f t="shared" si="112"/>
        <v>0.33753877356239564</v>
      </c>
      <c r="EB17" s="836">
        <f t="shared" si="113"/>
        <v>1.0235325697924123</v>
      </c>
      <c r="EC17" s="836">
        <f t="shared" si="114"/>
        <v>2</v>
      </c>
      <c r="ED17" s="836">
        <f t="shared" si="115"/>
        <v>100</v>
      </c>
      <c r="EE17" s="836">
        <f t="shared" si="116"/>
        <v>100</v>
      </c>
      <c r="EF17" s="836">
        <f t="shared" si="117"/>
        <v>100</v>
      </c>
      <c r="EG17" s="837">
        <f t="shared" si="118"/>
        <v>100</v>
      </c>
      <c r="EH17" s="1053">
        <f t="shared" si="119"/>
        <v>100</v>
      </c>
      <c r="EI17" s="1053">
        <f t="shared" si="120"/>
        <v>100</v>
      </c>
      <c r="EJ17" s="1053">
        <f t="shared" si="121"/>
        <v>100</v>
      </c>
      <c r="EK17" s="1053">
        <f t="shared" si="122"/>
        <v>100</v>
      </c>
      <c r="EL17" s="1053">
        <f t="shared" si="123"/>
        <v>2</v>
      </c>
      <c r="EM17" s="1053">
        <f t="shared" si="124"/>
        <v>1.0235325697924123</v>
      </c>
      <c r="EN17" s="1053">
        <f t="shared" si="125"/>
        <v>0.33753877356239564</v>
      </c>
      <c r="EO17" s="1053">
        <f t="shared" si="126"/>
        <v>-5.0196850393700782E-2</v>
      </c>
      <c r="EP17" s="1065" t="str">
        <f t="shared" si="127"/>
        <v>ML3.5</v>
      </c>
      <c r="EQ17" s="835"/>
      <c r="ER17" s="837" t="str">
        <f t="shared" si="128"/>
        <v>ML1</v>
      </c>
      <c r="ES17" s="837" t="str">
        <f t="shared" si="138"/>
        <v>ML3.5</v>
      </c>
    </row>
    <row r="18" spans="1:149" s="504" customFormat="1" x14ac:dyDescent="0.25">
      <c r="A18" s="514" t="s">
        <v>211</v>
      </c>
      <c r="B18" s="757" t="str">
        <f>VLOOKUP($A18,'TIS Site Config'!$A$3:$AQ$51,2,FALSE)</f>
        <v>D06</v>
      </c>
      <c r="C18" s="753" t="str">
        <f>IF(VLOOKUP($A18,'TIS Site Config'!$A$3:$AQ$51,3,FALSE)&lt;&gt;"",
              VLOOKUP($A18,'TIS Site Config'!$A$3:$AQ$51,3,FALSE),"")</f>
        <v/>
      </c>
      <c r="D18" s="932" t="str">
        <f>VLOOKUP($A18,'TIS Site Config'!$A$3:$AQ$51,4,FALSE)</f>
        <v>The University of Kansas Field Station</v>
      </c>
      <c r="E18" s="784">
        <f t="shared" si="129"/>
        <v>6</v>
      </c>
      <c r="F18" s="864"/>
      <c r="G18" s="506">
        <v>0.3</v>
      </c>
      <c r="H18" s="506">
        <v>1</v>
      </c>
      <c r="I18" s="506">
        <v>8</v>
      </c>
      <c r="J18" s="506">
        <v>19</v>
      </c>
      <c r="K18" s="506">
        <v>24</v>
      </c>
      <c r="L18" s="506">
        <v>32.5</v>
      </c>
      <c r="M18" s="506"/>
      <c r="N18" s="507"/>
      <c r="O18" s="615">
        <v>116</v>
      </c>
      <c r="P18" s="616" t="s">
        <v>138</v>
      </c>
      <c r="Q18" s="770">
        <f t="shared" si="130"/>
        <v>10</v>
      </c>
      <c r="R18" s="611">
        <v>1</v>
      </c>
      <c r="S18" s="611"/>
      <c r="T18" s="366" t="s">
        <v>203</v>
      </c>
      <c r="U18" s="366" t="s">
        <v>203</v>
      </c>
      <c r="V18" s="366" t="s">
        <v>203</v>
      </c>
      <c r="W18" s="366" t="s">
        <v>203</v>
      </c>
      <c r="X18" s="366" t="s">
        <v>203</v>
      </c>
      <c r="Y18" s="366" t="s">
        <v>203</v>
      </c>
      <c r="Z18" s="366" t="s">
        <v>203</v>
      </c>
      <c r="AA18" s="366" t="s">
        <v>203</v>
      </c>
      <c r="AB18" s="366" t="s">
        <v>203</v>
      </c>
      <c r="AC18" s="366" t="s">
        <v>203</v>
      </c>
      <c r="AD18" s="366"/>
      <c r="AE18" s="366"/>
      <c r="AF18" s="366"/>
      <c r="AG18" s="366"/>
      <c r="AH18" s="366"/>
      <c r="AI18" s="366"/>
      <c r="AJ18" s="366"/>
      <c r="AK18" s="605"/>
      <c r="AL18" s="508">
        <v>4.5</v>
      </c>
      <c r="AM18" s="773">
        <f t="shared" si="131"/>
        <v>27</v>
      </c>
      <c r="AN18" s="506"/>
      <c r="AO18" s="787">
        <f t="shared" si="76"/>
        <v>2.1666666666666665</v>
      </c>
      <c r="AP18" s="841">
        <v>0.3</v>
      </c>
      <c r="AQ18" s="842">
        <v>1</v>
      </c>
      <c r="AR18" s="842">
        <v>8</v>
      </c>
      <c r="AS18" s="842">
        <v>19</v>
      </c>
      <c r="AT18" s="842">
        <v>24</v>
      </c>
      <c r="AU18" s="842">
        <v>32.5</v>
      </c>
      <c r="AV18" s="842"/>
      <c r="AW18" s="843"/>
      <c r="AX18" s="854">
        <v>0.3</v>
      </c>
      <c r="AY18" s="855">
        <v>1</v>
      </c>
      <c r="AZ18" s="855">
        <v>8</v>
      </c>
      <c r="BA18" s="855">
        <v>19</v>
      </c>
      <c r="BB18" s="855">
        <v>24</v>
      </c>
      <c r="BC18" s="855">
        <v>32.5</v>
      </c>
      <c r="BD18" s="855">
        <v>0</v>
      </c>
      <c r="BE18" s="856">
        <v>0</v>
      </c>
      <c r="BF18" s="792">
        <f t="shared" si="77"/>
        <v>-0.10749224528752087</v>
      </c>
      <c r="BG18" s="598">
        <f t="shared" si="78"/>
        <v>0.10128847530422336</v>
      </c>
      <c r="BH18" s="598">
        <f t="shared" si="79"/>
        <v>2.1890956812216653</v>
      </c>
      <c r="BI18" s="598">
        <f t="shared" si="80"/>
        <v>5.4699355762347892</v>
      </c>
      <c r="BJ18" s="598">
        <f t="shared" si="81"/>
        <v>6.96122643760439</v>
      </c>
      <c r="BK18" s="598">
        <f t="shared" si="82"/>
        <v>10</v>
      </c>
      <c r="BL18" s="598">
        <f t="shared" si="83"/>
        <v>0</v>
      </c>
      <c r="BM18" s="793">
        <f t="shared" si="84"/>
        <v>0</v>
      </c>
      <c r="BN18" s="801">
        <f t="shared" si="139"/>
        <v>2</v>
      </c>
      <c r="BO18" s="366">
        <f t="shared" si="140"/>
        <v>0</v>
      </c>
      <c r="BP18" s="366">
        <f t="shared" si="140"/>
        <v>1</v>
      </c>
      <c r="BQ18" s="366">
        <f t="shared" si="140"/>
        <v>0</v>
      </c>
      <c r="BR18" s="366">
        <f t="shared" si="140"/>
        <v>0</v>
      </c>
      <c r="BS18" s="366">
        <f t="shared" si="140"/>
        <v>1</v>
      </c>
      <c r="BT18" s="367">
        <f t="shared" si="140"/>
        <v>1</v>
      </c>
      <c r="BU18" s="367">
        <f t="shared" si="140"/>
        <v>0</v>
      </c>
      <c r="BV18" s="366">
        <f t="shared" si="140"/>
        <v>0</v>
      </c>
      <c r="BW18" s="366">
        <f t="shared" si="140"/>
        <v>0</v>
      </c>
      <c r="BX18" s="366">
        <f t="shared" si="140"/>
        <v>1</v>
      </c>
      <c r="BY18" s="366" t="str">
        <f t="shared" si="140"/>
        <v/>
      </c>
      <c r="BZ18" s="366" t="str">
        <f t="shared" si="140"/>
        <v/>
      </c>
      <c r="CA18" s="366" t="str">
        <f t="shared" si="140"/>
        <v/>
      </c>
      <c r="CB18" s="366" t="str">
        <f t="shared" si="140"/>
        <v/>
      </c>
      <c r="CC18" s="366" t="str">
        <f t="shared" ref="CC18:CD30" si="143">IF(VALUE(RIGHT(CC$3,2))&gt;MAX($BF18:$BM18)+1,"",SUMPRODUCT(($BF18:$BM18&gt;=VALUE((RIGHT(CC$3,2)-1)))*($BF18:$BM18&lt;VALUE((RIGHT(CC$3,2))))))</f>
        <v/>
      </c>
      <c r="CD18" s="366" t="str">
        <f t="shared" si="143"/>
        <v/>
      </c>
      <c r="CE18" s="366" t="str">
        <f t="shared" si="141"/>
        <v/>
      </c>
      <c r="CF18" s="798" t="str">
        <f t="shared" si="142"/>
        <v/>
      </c>
      <c r="CG18" s="805" t="str">
        <f t="shared" si="88"/>
        <v>B, p-thru above</v>
      </c>
      <c r="CH18" s="594" t="str">
        <f t="shared" si="89"/>
        <v>ML</v>
      </c>
      <c r="CI18" s="594" t="str">
        <f t="shared" si="90"/>
        <v>p-thru</v>
      </c>
      <c r="CJ18" s="594" t="str">
        <f t="shared" si="91"/>
        <v>p-thru</v>
      </c>
      <c r="CK18" s="594" t="str">
        <f t="shared" si="92"/>
        <v>ML</v>
      </c>
      <c r="CL18" s="594" t="str">
        <f t="shared" si="93"/>
        <v>ML</v>
      </c>
      <c r="CM18" s="594" t="str">
        <f t="shared" si="94"/>
        <v>p-thru</v>
      </c>
      <c r="CN18" s="594" t="str">
        <f t="shared" si="95"/>
        <v>p-thru</v>
      </c>
      <c r="CO18" s="594" t="str">
        <f t="shared" si="96"/>
        <v>p-thru</v>
      </c>
      <c r="CP18" s="594" t="str">
        <f t="shared" si="97"/>
        <v>TOP</v>
      </c>
      <c r="CQ18" s="594" t="str">
        <f t="shared" si="98"/>
        <v/>
      </c>
      <c r="CR18" s="594" t="str">
        <f t="shared" si="99"/>
        <v/>
      </c>
      <c r="CS18" s="594" t="str">
        <f t="shared" si="100"/>
        <v/>
      </c>
      <c r="CT18" s="594" t="str">
        <f t="shared" si="101"/>
        <v/>
      </c>
      <c r="CU18" s="594" t="str">
        <f t="shared" si="102"/>
        <v/>
      </c>
      <c r="CV18" s="594" t="str">
        <f t="shared" si="103"/>
        <v/>
      </c>
      <c r="CW18" s="594" t="str">
        <f t="shared" si="104"/>
        <v/>
      </c>
      <c r="CX18" s="806" t="str">
        <f t="shared" si="105"/>
        <v/>
      </c>
      <c r="CY18" s="815">
        <f>IF(VLOOKUP(A18,'TIS Site Config'!$A$4:$AQ$51,6,FALSE)="Non-heated",COUNTIF($CG18:$CX18,$DT$3),0)</f>
        <v>0</v>
      </c>
      <c r="CZ18" s="738">
        <f>IF(OR(VLOOKUP(A18,'TIS Site Config'!$A$4:$AQ$51,6,FALSE)="Heated",VLOOKUP(A18,'TIS Site Config'!$A$4:$AQ$51,6,FALSE)="Extreme Heated"),COUNTIF($CG18:$CX18,$DT$3),0)</f>
        <v>1</v>
      </c>
      <c r="DA18" s="738">
        <f>IF(VLOOKUP(A18,'TIS Site Config'!$A$4:$AQ$51,6,FALSE)="Non-heated",COUNTIF($CG18:$CX18,$DU$3),0)</f>
        <v>0</v>
      </c>
      <c r="DB18" s="738">
        <f>IF(OR(VLOOKUP(A18,'TIS Site Config'!$A$4:$AQ$51,6,FALSE)="Heated",VLOOKUP(A18,'TIS Site Config'!$A$4:$AQ$51,6,FALSE)="Extreme heated"),COUNTIF($CG18:$CX18,$DU$3),0)</f>
        <v>0</v>
      </c>
      <c r="DC18" s="738">
        <f>IF(VLOOKUP(A18,'TIS Site Config'!$A$4:$AQ$51,6,FALSE)="Non-heated",COUNTIF($CG18:$CX18,$DW$3),0)</f>
        <v>0</v>
      </c>
      <c r="DD18" s="738">
        <f>IF(OR(VLOOKUP(A18,'TIS Site Config'!$A$4:$AQ$51,6,FALSE)="Heated",VLOOKUP(A18,'TIS Site Config'!$A$4:$AQ$51,6,FALSE)="Extreme heated"),COUNTIF($CG18:$CX18,$DW$3),0)</f>
        <v>3</v>
      </c>
      <c r="DE18" s="738">
        <f t="shared" si="132"/>
        <v>5</v>
      </c>
      <c r="DF18" s="738">
        <f>IF(VLOOKUP(A18,'TIS Site Config'!$A$4:$AQ$51,6,FALSE)="Non-heated",COUNTIF($CG18:$CX18,$DX$3),0)</f>
        <v>0</v>
      </c>
      <c r="DG18" s="738">
        <f>IF(OR(VLOOKUP(A18,'TIS Site Config'!$A$4:$AQ$51,6,FALSE)="Heated",VLOOKUP(A18,'TIS Site Config'!$A$4:$AQ$51,6,FALSE)="Extreme heated"),COUNTIF($CG18:$CX18,$DX$3),0)</f>
        <v>1</v>
      </c>
      <c r="DH18" s="812"/>
      <c r="DI18" s="790">
        <f t="shared" si="133"/>
        <v>0</v>
      </c>
      <c r="DJ18" s="357">
        <f t="shared" si="134"/>
        <v>0</v>
      </c>
      <c r="DK18" s="357">
        <f t="shared" si="135"/>
        <v>5</v>
      </c>
      <c r="DL18" s="606">
        <v>1</v>
      </c>
      <c r="DM18" s="607">
        <f t="shared" si="106"/>
        <v>6</v>
      </c>
      <c r="DN18" s="883">
        <f t="shared" si="136"/>
        <v>0</v>
      </c>
      <c r="DO18" s="593">
        <f t="shared" si="107"/>
        <v>1</v>
      </c>
      <c r="DP18" s="593">
        <f t="shared" si="108"/>
        <v>3</v>
      </c>
      <c r="DR18" s="504">
        <f t="shared" si="109"/>
        <v>10</v>
      </c>
      <c r="DS18" s="504">
        <f t="shared" si="110"/>
        <v>0</v>
      </c>
      <c r="DT18" s="504">
        <f t="shared" si="111"/>
        <v>0</v>
      </c>
      <c r="DZ18" s="792">
        <f t="shared" si="137"/>
        <v>-0.10749224528752087</v>
      </c>
      <c r="EA18" s="598">
        <f t="shared" si="112"/>
        <v>0.10128847530422336</v>
      </c>
      <c r="EB18" s="598">
        <f t="shared" si="113"/>
        <v>2.1890956812216653</v>
      </c>
      <c r="EC18" s="598">
        <f t="shared" si="114"/>
        <v>5.4699355762347892</v>
      </c>
      <c r="ED18" s="598">
        <f t="shared" si="115"/>
        <v>6.96122643760439</v>
      </c>
      <c r="EE18" s="598">
        <f t="shared" si="116"/>
        <v>10</v>
      </c>
      <c r="EF18" s="598">
        <f t="shared" si="117"/>
        <v>100</v>
      </c>
      <c r="EG18" s="793">
        <f t="shared" si="118"/>
        <v>100</v>
      </c>
      <c r="EH18" s="1055">
        <f t="shared" si="119"/>
        <v>100</v>
      </c>
      <c r="EI18" s="1055">
        <f t="shared" si="120"/>
        <v>100</v>
      </c>
      <c r="EJ18" s="1055">
        <f t="shared" si="121"/>
        <v>10</v>
      </c>
      <c r="EK18" s="1055">
        <f t="shared" si="122"/>
        <v>6.96122643760439</v>
      </c>
      <c r="EL18" s="1055">
        <f t="shared" si="123"/>
        <v>5.4699355762347892</v>
      </c>
      <c r="EM18" s="1055">
        <f t="shared" si="124"/>
        <v>2.1890956812216653</v>
      </c>
      <c r="EN18" s="1055">
        <f t="shared" si="125"/>
        <v>0.10128847530422336</v>
      </c>
      <c r="EO18" s="1055">
        <f t="shared" si="126"/>
        <v>-0.10749224528752087</v>
      </c>
      <c r="EP18" s="1069" t="str">
        <f t="shared" si="127"/>
        <v>ML2.5</v>
      </c>
      <c r="EQ18" s="792"/>
      <c r="ER18" s="793" t="str">
        <f t="shared" si="128"/>
        <v>ML1</v>
      </c>
      <c r="ES18" s="793" t="str">
        <f t="shared" si="138"/>
        <v>ML5.5</v>
      </c>
    </row>
    <row r="19" spans="1:149" s="504" customFormat="1" ht="15.75" thickBot="1" x14ac:dyDescent="0.3">
      <c r="A19" s="377" t="s">
        <v>212</v>
      </c>
      <c r="B19" s="761" t="str">
        <f>VLOOKUP($A19,'TIS Site Config'!$A$3:$AQ$51,2,FALSE)</f>
        <v>D06</v>
      </c>
      <c r="C19" s="751" t="str">
        <f>IF(VLOOKUP($A19,'TIS Site Config'!$A$3:$AQ$51,3,FALSE)&lt;&gt;"",
              VLOOKUP($A19,'TIS Site Config'!$A$3:$AQ$51,3,FALSE),"")</f>
        <v/>
      </c>
      <c r="D19" s="933" t="str">
        <f>VLOOKUP($A19,'TIS Site Config'!$A$3:$AQ$51,4,FALSE)</f>
        <v>Konza Prairie Biological Station</v>
      </c>
      <c r="E19" s="786">
        <f t="shared" si="129"/>
        <v>4</v>
      </c>
      <c r="F19" s="866"/>
      <c r="G19" s="373">
        <v>0.2</v>
      </c>
      <c r="H19" s="373">
        <v>1.5</v>
      </c>
      <c r="I19" s="373">
        <v>3.8</v>
      </c>
      <c r="J19" s="373">
        <v>6</v>
      </c>
      <c r="K19" s="373"/>
      <c r="L19" s="373"/>
      <c r="M19" s="373"/>
      <c r="N19" s="374"/>
      <c r="O19" s="617">
        <v>26</v>
      </c>
      <c r="P19" s="618" t="s">
        <v>139</v>
      </c>
      <c r="Q19" s="772">
        <f t="shared" si="130"/>
        <v>2</v>
      </c>
      <c r="R19" s="620">
        <v>1</v>
      </c>
      <c r="S19" s="620"/>
      <c r="T19" s="371" t="s">
        <v>203</v>
      </c>
      <c r="U19" s="371" t="s">
        <v>203</v>
      </c>
      <c r="V19" s="371"/>
      <c r="W19" s="371"/>
      <c r="X19" s="371"/>
      <c r="Y19" s="371"/>
      <c r="Z19" s="371"/>
      <c r="AA19" s="371"/>
      <c r="AB19" s="371"/>
      <c r="AC19" s="371"/>
      <c r="AD19" s="371"/>
      <c r="AE19" s="371"/>
      <c r="AF19" s="371"/>
      <c r="AG19" s="371"/>
      <c r="AH19" s="371"/>
      <c r="AI19" s="371"/>
      <c r="AJ19" s="371"/>
      <c r="AK19" s="608"/>
      <c r="AL19" s="375">
        <v>10.5</v>
      </c>
      <c r="AM19" s="775">
        <f t="shared" si="131"/>
        <v>15.5</v>
      </c>
      <c r="AN19" s="373"/>
      <c r="AO19" s="789">
        <f t="shared" si="76"/>
        <v>1.2083333333333333</v>
      </c>
      <c r="AP19" s="844">
        <v>0.2</v>
      </c>
      <c r="AQ19" s="845">
        <v>1.5</v>
      </c>
      <c r="AR19" s="845">
        <v>3.8</v>
      </c>
      <c r="AS19" s="845">
        <v>6</v>
      </c>
      <c r="AT19" s="845"/>
      <c r="AU19" s="845"/>
      <c r="AV19" s="845"/>
      <c r="AW19" s="846"/>
      <c r="AX19" s="857">
        <v>0.2</v>
      </c>
      <c r="AY19" s="858">
        <v>1.5</v>
      </c>
      <c r="AZ19" s="858">
        <v>3.8</v>
      </c>
      <c r="BA19" s="858">
        <v>6</v>
      </c>
      <c r="BB19" s="858">
        <v>0</v>
      </c>
      <c r="BC19" s="858">
        <v>0</v>
      </c>
      <c r="BD19" s="858">
        <v>0</v>
      </c>
      <c r="BE19" s="859">
        <v>0</v>
      </c>
      <c r="BF19" s="794">
        <f t="shared" si="77"/>
        <v>-5.0196850393700782E-2</v>
      </c>
      <c r="BG19" s="599">
        <f t="shared" si="78"/>
        <v>0.33753877356239564</v>
      </c>
      <c r="BH19" s="599">
        <f t="shared" si="79"/>
        <v>1.0235325697924123</v>
      </c>
      <c r="BI19" s="599">
        <f t="shared" si="80"/>
        <v>2</v>
      </c>
      <c r="BJ19" s="599">
        <f t="shared" si="81"/>
        <v>0</v>
      </c>
      <c r="BK19" s="599">
        <f t="shared" si="82"/>
        <v>0</v>
      </c>
      <c r="BL19" s="599">
        <f t="shared" si="83"/>
        <v>0</v>
      </c>
      <c r="BM19" s="795">
        <f t="shared" si="84"/>
        <v>0</v>
      </c>
      <c r="BN19" s="802">
        <f t="shared" si="139"/>
        <v>2</v>
      </c>
      <c r="BO19" s="371">
        <f t="shared" si="140"/>
        <v>1</v>
      </c>
      <c r="BP19" s="371">
        <f t="shared" si="140"/>
        <v>1</v>
      </c>
      <c r="BQ19" s="371" t="str">
        <f t="shared" si="140"/>
        <v/>
      </c>
      <c r="BR19" s="371" t="str">
        <f t="shared" si="140"/>
        <v/>
      </c>
      <c r="BS19" s="371" t="str">
        <f t="shared" si="140"/>
        <v/>
      </c>
      <c r="BT19" s="371" t="str">
        <f t="shared" si="140"/>
        <v/>
      </c>
      <c r="BU19" s="371" t="str">
        <f t="shared" si="140"/>
        <v/>
      </c>
      <c r="BV19" s="371" t="str">
        <f t="shared" si="140"/>
        <v/>
      </c>
      <c r="BW19" s="371" t="str">
        <f t="shared" si="140"/>
        <v/>
      </c>
      <c r="BX19" s="371" t="str">
        <f t="shared" si="140"/>
        <v/>
      </c>
      <c r="BY19" s="371" t="str">
        <f t="shared" si="140"/>
        <v/>
      </c>
      <c r="BZ19" s="371" t="str">
        <f t="shared" si="140"/>
        <v/>
      </c>
      <c r="CA19" s="371" t="str">
        <f t="shared" si="140"/>
        <v/>
      </c>
      <c r="CB19" s="371" t="str">
        <f t="shared" si="140"/>
        <v/>
      </c>
      <c r="CC19" s="371" t="str">
        <f t="shared" si="143"/>
        <v/>
      </c>
      <c r="CD19" s="371" t="str">
        <f t="shared" si="143"/>
        <v/>
      </c>
      <c r="CE19" s="371" t="str">
        <f t="shared" si="141"/>
        <v/>
      </c>
      <c r="CF19" s="799" t="str">
        <f t="shared" si="142"/>
        <v/>
      </c>
      <c r="CG19" s="807" t="str">
        <f t="shared" si="88"/>
        <v>B, ML above</v>
      </c>
      <c r="CH19" s="595" t="str">
        <f t="shared" si="89"/>
        <v>TOP</v>
      </c>
      <c r="CI19" s="595" t="str">
        <f t="shared" si="90"/>
        <v/>
      </c>
      <c r="CJ19" s="595" t="str">
        <f t="shared" si="91"/>
        <v/>
      </c>
      <c r="CK19" s="595" t="str">
        <f t="shared" si="92"/>
        <v/>
      </c>
      <c r="CL19" s="595" t="str">
        <f t="shared" si="93"/>
        <v/>
      </c>
      <c r="CM19" s="595" t="str">
        <f t="shared" si="94"/>
        <v/>
      </c>
      <c r="CN19" s="595" t="str">
        <f t="shared" si="95"/>
        <v/>
      </c>
      <c r="CO19" s="595" t="str">
        <f t="shared" si="96"/>
        <v/>
      </c>
      <c r="CP19" s="595" t="str">
        <f t="shared" si="97"/>
        <v/>
      </c>
      <c r="CQ19" s="595" t="str">
        <f t="shared" si="98"/>
        <v/>
      </c>
      <c r="CR19" s="595" t="str">
        <f t="shared" si="99"/>
        <v/>
      </c>
      <c r="CS19" s="595" t="str">
        <f t="shared" si="100"/>
        <v/>
      </c>
      <c r="CT19" s="595" t="str">
        <f t="shared" si="101"/>
        <v/>
      </c>
      <c r="CU19" s="595" t="str">
        <f t="shared" si="102"/>
        <v/>
      </c>
      <c r="CV19" s="595" t="str">
        <f t="shared" si="103"/>
        <v/>
      </c>
      <c r="CW19" s="595" t="str">
        <f t="shared" si="104"/>
        <v/>
      </c>
      <c r="CX19" s="808" t="str">
        <f t="shared" si="105"/>
        <v/>
      </c>
      <c r="CY19" s="816">
        <f>IF(VLOOKUP(A19,'TIS Site Config'!$A$4:$AQ$51,6,FALSE)="Non-heated",COUNTIF($CG19:$CX19,$DT$3),0)</f>
        <v>0</v>
      </c>
      <c r="CZ19" s="596">
        <f>IF(OR(VLOOKUP(A19,'TIS Site Config'!$A$4:$AQ$51,6,FALSE)="Heated",VLOOKUP(A19,'TIS Site Config'!$A$4:$AQ$51,6,FALSE)="Extreme Heated"),COUNTIF($CG19:$CX19,$DT$3),0)</f>
        <v>0</v>
      </c>
      <c r="DA19" s="596">
        <f>IF(VLOOKUP(A19,'TIS Site Config'!$A$4:$AQ$51,6,FALSE)="Non-heated",COUNTIF($CG19:$CX19,$DU$3),0)</f>
        <v>0</v>
      </c>
      <c r="DB19" s="596">
        <f>IF(OR(VLOOKUP(A19,'TIS Site Config'!$A$4:$AQ$51,6,FALSE)="Heated",VLOOKUP(A19,'TIS Site Config'!$A$4:$AQ$51,6,FALSE)="Extreme heated"),COUNTIF($CG19:$CX19,$DU$3),0)</f>
        <v>1</v>
      </c>
      <c r="DC19" s="596">
        <f>IF(VLOOKUP(A19,'TIS Site Config'!$A$4:$AQ$51,6,FALSE)="Non-heated",COUNTIF($CG19:$CX19,$DW$3),0)</f>
        <v>0</v>
      </c>
      <c r="DD19" s="596">
        <f>IF(OR(VLOOKUP(A19,'TIS Site Config'!$A$4:$AQ$51,6,FALSE)="Heated",VLOOKUP(A19,'TIS Site Config'!$A$4:$AQ$51,6,FALSE)="Extreme heated"),COUNTIF($CG19:$CX19,$DW$3),0)</f>
        <v>0</v>
      </c>
      <c r="DE19" s="596">
        <f t="shared" si="132"/>
        <v>0</v>
      </c>
      <c r="DF19" s="596">
        <f>IF(VLOOKUP(A19,'TIS Site Config'!$A$4:$AQ$51,6,FALSE)="Non-heated",COUNTIF($CG19:$CX19,$DX$3),0)</f>
        <v>0</v>
      </c>
      <c r="DG19" s="596">
        <f>IF(OR(VLOOKUP(A19,'TIS Site Config'!$A$4:$AQ$51,6,FALSE)="Heated",VLOOKUP(A19,'TIS Site Config'!$A$4:$AQ$51,6,FALSE)="Extreme heated"),COUNTIF($CG19:$CX19,$DX$3),0)</f>
        <v>1</v>
      </c>
      <c r="DH19" s="817"/>
      <c r="DI19" s="791">
        <f t="shared" si="133"/>
        <v>0</v>
      </c>
      <c r="DJ19" s="365">
        <f t="shared" si="134"/>
        <v>0</v>
      </c>
      <c r="DK19" s="365">
        <f t="shared" si="135"/>
        <v>3</v>
      </c>
      <c r="DL19" s="376">
        <v>1</v>
      </c>
      <c r="DM19" s="609">
        <f t="shared" si="106"/>
        <v>4</v>
      </c>
      <c r="DN19" s="883">
        <f t="shared" si="136"/>
        <v>0</v>
      </c>
      <c r="DO19" s="593">
        <f t="shared" si="107"/>
        <v>1</v>
      </c>
      <c r="DP19" s="593">
        <f t="shared" si="108"/>
        <v>2</v>
      </c>
      <c r="DR19" s="504">
        <f t="shared" si="109"/>
        <v>2</v>
      </c>
      <c r="DS19" s="504">
        <f t="shared" si="110"/>
        <v>0</v>
      </c>
      <c r="DT19" s="504">
        <f t="shared" si="111"/>
        <v>0</v>
      </c>
      <c r="DZ19" s="794">
        <f t="shared" si="137"/>
        <v>-5.0196850393700782E-2</v>
      </c>
      <c r="EA19" s="599">
        <f t="shared" si="112"/>
        <v>0.33753877356239564</v>
      </c>
      <c r="EB19" s="599">
        <f t="shared" si="113"/>
        <v>1.0235325697924123</v>
      </c>
      <c r="EC19" s="599">
        <f t="shared" si="114"/>
        <v>2</v>
      </c>
      <c r="ED19" s="599">
        <f t="shared" si="115"/>
        <v>100</v>
      </c>
      <c r="EE19" s="599">
        <f t="shared" si="116"/>
        <v>100</v>
      </c>
      <c r="EF19" s="599">
        <f t="shared" si="117"/>
        <v>100</v>
      </c>
      <c r="EG19" s="795">
        <f t="shared" si="118"/>
        <v>100</v>
      </c>
      <c r="EH19" s="1054">
        <f t="shared" si="119"/>
        <v>100</v>
      </c>
      <c r="EI19" s="1054">
        <f t="shared" si="120"/>
        <v>100</v>
      </c>
      <c r="EJ19" s="1054">
        <f t="shared" si="121"/>
        <v>100</v>
      </c>
      <c r="EK19" s="1054">
        <f t="shared" si="122"/>
        <v>100</v>
      </c>
      <c r="EL19" s="1054">
        <f t="shared" si="123"/>
        <v>2</v>
      </c>
      <c r="EM19" s="1054">
        <f t="shared" si="124"/>
        <v>1.0235325697924123</v>
      </c>
      <c r="EN19" s="1054">
        <f t="shared" si="125"/>
        <v>0.33753877356239564</v>
      </c>
      <c r="EO19" s="1054">
        <f t="shared" si="126"/>
        <v>-5.0196850393700782E-2</v>
      </c>
      <c r="EP19" s="1070" t="str">
        <f t="shared" si="127"/>
        <v>ML3.5</v>
      </c>
      <c r="EQ19" s="794"/>
      <c r="ER19" s="795" t="str">
        <f t="shared" si="128"/>
        <v>ML1</v>
      </c>
      <c r="ES19" s="795" t="str">
        <f t="shared" si="138"/>
        <v>ML3.5</v>
      </c>
    </row>
    <row r="20" spans="1:149" s="504" customFormat="1" x14ac:dyDescent="0.25">
      <c r="A20" s="584" t="s">
        <v>232</v>
      </c>
      <c r="B20" s="930" t="str">
        <f>VLOOKUP($A20,'TIS Site Config'!$A$3:$AQ$51,2,FALSE)</f>
        <v>D07</v>
      </c>
      <c r="C20" s="934" t="str">
        <f>IF(VLOOKUP($A20,'TIS Site Config'!$A$3:$AQ$51,3,FALSE)&lt;&gt;"",
              VLOOKUP($A20,'TIS Site Config'!$A$3:$AQ$51,3,FALSE),"")</f>
        <v>B-FY15-1</v>
      </c>
      <c r="D20" s="931" t="str">
        <f>VLOOKUP($A20,'TIS Site Config'!$A$3:$AQ$51,4,FALSE)</f>
        <v>Oak Ridge</v>
      </c>
      <c r="E20" s="784">
        <f t="shared" si="129"/>
        <v>6</v>
      </c>
      <c r="F20" s="864"/>
      <c r="G20" s="597">
        <v>0.3</v>
      </c>
      <c r="H20" s="597">
        <v>7</v>
      </c>
      <c r="I20" s="597">
        <v>16</v>
      </c>
      <c r="J20" s="597">
        <v>22</v>
      </c>
      <c r="K20" s="597">
        <v>30</v>
      </c>
      <c r="L20" s="597">
        <v>38</v>
      </c>
      <c r="M20" s="597"/>
      <c r="N20" s="826"/>
      <c r="O20" s="613">
        <v>127</v>
      </c>
      <c r="P20" s="614" t="s">
        <v>138</v>
      </c>
      <c r="Q20" s="770">
        <f t="shared" si="130"/>
        <v>11</v>
      </c>
      <c r="R20" s="611">
        <v>1</v>
      </c>
      <c r="S20" s="611"/>
      <c r="T20" s="368" t="s">
        <v>203</v>
      </c>
      <c r="U20" s="368" t="s">
        <v>203</v>
      </c>
      <c r="V20" s="368" t="s">
        <v>203</v>
      </c>
      <c r="W20" s="368" t="s">
        <v>203</v>
      </c>
      <c r="X20" s="368" t="s">
        <v>203</v>
      </c>
      <c r="Y20" s="368" t="s">
        <v>203</v>
      </c>
      <c r="Z20" s="368" t="s">
        <v>203</v>
      </c>
      <c r="AA20" s="368" t="s">
        <v>203</v>
      </c>
      <c r="AB20" s="368" t="s">
        <v>203</v>
      </c>
      <c r="AC20" s="368" t="s">
        <v>203</v>
      </c>
      <c r="AD20" s="368" t="s">
        <v>203</v>
      </c>
      <c r="AE20" s="368"/>
      <c r="AF20" s="368"/>
      <c r="AG20" s="368"/>
      <c r="AH20" s="368"/>
      <c r="AI20" s="368"/>
      <c r="AJ20" s="368"/>
      <c r="AK20" s="602"/>
      <c r="AL20" s="819">
        <v>6</v>
      </c>
      <c r="AM20" s="773">
        <f t="shared" si="131"/>
        <v>28.5</v>
      </c>
      <c r="AN20" s="597"/>
      <c r="AO20" s="787">
        <f t="shared" si="76"/>
        <v>2.2916666666666665</v>
      </c>
      <c r="AP20" s="838">
        <v>0.3</v>
      </c>
      <c r="AQ20" s="839">
        <v>7</v>
      </c>
      <c r="AR20" s="839">
        <v>16</v>
      </c>
      <c r="AS20" s="839">
        <v>22</v>
      </c>
      <c r="AT20" s="839">
        <v>30</v>
      </c>
      <c r="AU20" s="839">
        <v>38</v>
      </c>
      <c r="AV20" s="839"/>
      <c r="AW20" s="840"/>
      <c r="AX20" s="860">
        <v>0.3</v>
      </c>
      <c r="AY20" s="852">
        <v>7</v>
      </c>
      <c r="AZ20" s="852">
        <v>16</v>
      </c>
      <c r="BA20" s="852">
        <v>22</v>
      </c>
      <c r="BB20" s="852">
        <v>30</v>
      </c>
      <c r="BC20" s="852">
        <v>38</v>
      </c>
      <c r="BD20" s="852">
        <v>0</v>
      </c>
      <c r="BE20" s="853">
        <v>0</v>
      </c>
      <c r="BF20" s="835">
        <f t="shared" si="77"/>
        <v>-0.11885588165115722</v>
      </c>
      <c r="BG20" s="836">
        <f t="shared" si="78"/>
        <v>1.8794738725841087</v>
      </c>
      <c r="BH20" s="836">
        <f t="shared" si="79"/>
        <v>4.5637974230493921</v>
      </c>
      <c r="BI20" s="836">
        <f t="shared" si="80"/>
        <v>6.353346456692913</v>
      </c>
      <c r="BJ20" s="836">
        <f t="shared" si="81"/>
        <v>8.739411834884276</v>
      </c>
      <c r="BK20" s="836">
        <f t="shared" si="82"/>
        <v>11</v>
      </c>
      <c r="BL20" s="836">
        <f t="shared" si="83"/>
        <v>0</v>
      </c>
      <c r="BM20" s="837">
        <f t="shared" si="84"/>
        <v>0</v>
      </c>
      <c r="BN20" s="800">
        <f t="shared" si="139"/>
        <v>1</v>
      </c>
      <c r="BO20" s="368">
        <f t="shared" si="140"/>
        <v>1</v>
      </c>
      <c r="BP20" s="368">
        <f t="shared" si="140"/>
        <v>0</v>
      </c>
      <c r="BQ20" s="368">
        <f t="shared" si="140"/>
        <v>0</v>
      </c>
      <c r="BR20" s="368">
        <f t="shared" si="140"/>
        <v>1</v>
      </c>
      <c r="BS20" s="368">
        <f t="shared" si="140"/>
        <v>0</v>
      </c>
      <c r="BT20" s="368">
        <f t="shared" si="140"/>
        <v>1</v>
      </c>
      <c r="BU20" s="368">
        <f t="shared" si="140"/>
        <v>0</v>
      </c>
      <c r="BV20" s="368">
        <f t="shared" si="140"/>
        <v>1</v>
      </c>
      <c r="BW20" s="368">
        <f t="shared" si="140"/>
        <v>0</v>
      </c>
      <c r="BX20" s="368">
        <f t="shared" si="140"/>
        <v>0</v>
      </c>
      <c r="BY20" s="368">
        <f t="shared" si="140"/>
        <v>1</v>
      </c>
      <c r="BZ20" s="368" t="str">
        <f t="shared" si="140"/>
        <v/>
      </c>
      <c r="CA20" s="368" t="str">
        <f t="shared" si="140"/>
        <v/>
      </c>
      <c r="CB20" s="368" t="str">
        <f t="shared" si="140"/>
        <v/>
      </c>
      <c r="CC20" s="368" t="str">
        <f t="shared" si="143"/>
        <v/>
      </c>
      <c r="CD20" s="368" t="str">
        <f t="shared" si="143"/>
        <v/>
      </c>
      <c r="CE20" s="368" t="str">
        <f t="shared" si="141"/>
        <v/>
      </c>
      <c r="CF20" s="797" t="str">
        <f t="shared" si="142"/>
        <v/>
      </c>
      <c r="CG20" s="803" t="str">
        <f t="shared" si="88"/>
        <v>B, ML above</v>
      </c>
      <c r="CH20" s="591" t="str">
        <f t="shared" si="89"/>
        <v>p-thru</v>
      </c>
      <c r="CI20" s="591" t="str">
        <f t="shared" si="90"/>
        <v>p-thru</v>
      </c>
      <c r="CJ20" s="591" t="str">
        <f t="shared" si="91"/>
        <v>ML</v>
      </c>
      <c r="CK20" s="591" t="str">
        <f t="shared" si="92"/>
        <v>p-thru</v>
      </c>
      <c r="CL20" s="591" t="str">
        <f t="shared" si="93"/>
        <v>ML</v>
      </c>
      <c r="CM20" s="591" t="str">
        <f t="shared" si="94"/>
        <v>p-thru</v>
      </c>
      <c r="CN20" s="591" t="str">
        <f t="shared" si="95"/>
        <v>ML</v>
      </c>
      <c r="CO20" s="591" t="str">
        <f t="shared" si="96"/>
        <v>p-thru</v>
      </c>
      <c r="CP20" s="591" t="str">
        <f t="shared" si="97"/>
        <v>p-thru</v>
      </c>
      <c r="CQ20" s="591" t="str">
        <f t="shared" si="98"/>
        <v>TOP</v>
      </c>
      <c r="CR20" s="591" t="str">
        <f t="shared" si="99"/>
        <v/>
      </c>
      <c r="CS20" s="591" t="str">
        <f t="shared" si="100"/>
        <v/>
      </c>
      <c r="CT20" s="591" t="str">
        <f t="shared" si="101"/>
        <v/>
      </c>
      <c r="CU20" s="591" t="str">
        <f t="shared" si="102"/>
        <v/>
      </c>
      <c r="CV20" s="591" t="str">
        <f t="shared" si="103"/>
        <v/>
      </c>
      <c r="CW20" s="591" t="str">
        <f t="shared" si="104"/>
        <v/>
      </c>
      <c r="CX20" s="804" t="str">
        <f t="shared" si="105"/>
        <v/>
      </c>
      <c r="CY20" s="813">
        <f>IF(VLOOKUP(A20,'TIS Site Config'!$A$4:$AQ$51,6,FALSE)="Non-heated",COUNTIF($CG20:$CX20,$DT$3),0)</f>
        <v>0</v>
      </c>
      <c r="CZ20" s="592">
        <f>IF(OR(VLOOKUP(A20,'TIS Site Config'!$A$4:$AQ$51,6,FALSE)="Heated",VLOOKUP(A20,'TIS Site Config'!$A$4:$AQ$51,6,FALSE)="Extreme Heated"),COUNTIF($CG20:$CX20,$DT$3),0)</f>
        <v>0</v>
      </c>
      <c r="DA20" s="592">
        <f>IF(VLOOKUP(A20,'TIS Site Config'!$A$4:$AQ$51,6,FALSE)="Non-heated",COUNTIF($CG20:$CX20,$DU$3),0)</f>
        <v>0</v>
      </c>
      <c r="DB20" s="592">
        <f>IF(OR(VLOOKUP(A20,'TIS Site Config'!$A$4:$AQ$51,6,FALSE)="Heated",VLOOKUP(A20,'TIS Site Config'!$A$4:$AQ$51,6,FALSE)="Extreme heated"),COUNTIF($CG20:$CX20,$DU$3),0)</f>
        <v>1</v>
      </c>
      <c r="DC20" s="592">
        <f>IF(VLOOKUP(A20,'TIS Site Config'!$A$4:$AQ$51,6,FALSE)="Non-heated",COUNTIF($CG20:$CX20,$DW$3),0)</f>
        <v>0</v>
      </c>
      <c r="DD20" s="592">
        <f>IF(OR(VLOOKUP(A20,'TIS Site Config'!$A$4:$AQ$51,6,FALSE)="Heated",VLOOKUP(A20,'TIS Site Config'!$A$4:$AQ$51,6,FALSE)="Extreme heated"),COUNTIF($CG20:$CX20,$DW$3),0)</f>
        <v>3</v>
      </c>
      <c r="DE20" s="592">
        <f t="shared" si="132"/>
        <v>6</v>
      </c>
      <c r="DF20" s="592">
        <f>IF(VLOOKUP(A20,'TIS Site Config'!$A$4:$AQ$51,6,FALSE)="Non-heated",COUNTIF($CG20:$CX20,$DX$3),0)</f>
        <v>0</v>
      </c>
      <c r="DG20" s="592">
        <f>IF(OR(VLOOKUP(A20,'TIS Site Config'!$A$4:$AQ$51,6,FALSE)="Heated",VLOOKUP(A20,'TIS Site Config'!$A$4:$AQ$51,6,FALSE)="Extreme heated"),COUNTIF($CG20:$CX20,$DX$3),0)</f>
        <v>1</v>
      </c>
      <c r="DH20" s="814"/>
      <c r="DI20" s="810">
        <f t="shared" si="133"/>
        <v>0</v>
      </c>
      <c r="DJ20" s="355">
        <f t="shared" si="134"/>
        <v>0</v>
      </c>
      <c r="DK20" s="355">
        <f t="shared" si="135"/>
        <v>5</v>
      </c>
      <c r="DL20" s="603">
        <v>1</v>
      </c>
      <c r="DM20" s="604">
        <f t="shared" si="106"/>
        <v>6</v>
      </c>
      <c r="DN20" s="883">
        <f t="shared" si="136"/>
        <v>0</v>
      </c>
      <c r="DO20" s="593">
        <f t="shared" si="107"/>
        <v>2</v>
      </c>
      <c r="DP20" s="593">
        <f t="shared" si="108"/>
        <v>5</v>
      </c>
      <c r="DR20" s="504">
        <f t="shared" si="109"/>
        <v>11</v>
      </c>
      <c r="DS20" s="504">
        <f t="shared" si="110"/>
        <v>0</v>
      </c>
      <c r="DT20" s="504">
        <f t="shared" si="111"/>
        <v>0</v>
      </c>
      <c r="DZ20" s="835">
        <f t="shared" si="137"/>
        <v>-0.11885588165115722</v>
      </c>
      <c r="EA20" s="836">
        <f t="shared" si="112"/>
        <v>1.8794738725841087</v>
      </c>
      <c r="EB20" s="836">
        <f t="shared" si="113"/>
        <v>4.5637974230493921</v>
      </c>
      <c r="EC20" s="836">
        <f t="shared" si="114"/>
        <v>6.353346456692913</v>
      </c>
      <c r="ED20" s="836">
        <f t="shared" si="115"/>
        <v>8.739411834884276</v>
      </c>
      <c r="EE20" s="836">
        <f t="shared" si="116"/>
        <v>11</v>
      </c>
      <c r="EF20" s="836">
        <f t="shared" si="117"/>
        <v>100</v>
      </c>
      <c r="EG20" s="837">
        <f t="shared" si="118"/>
        <v>100</v>
      </c>
      <c r="EH20" s="1053">
        <f t="shared" si="119"/>
        <v>100</v>
      </c>
      <c r="EI20" s="1053">
        <f t="shared" si="120"/>
        <v>100</v>
      </c>
      <c r="EJ20" s="1053">
        <f t="shared" si="121"/>
        <v>11</v>
      </c>
      <c r="EK20" s="1053">
        <f t="shared" si="122"/>
        <v>8.739411834884276</v>
      </c>
      <c r="EL20" s="1053">
        <f t="shared" si="123"/>
        <v>6.353346456692913</v>
      </c>
      <c r="EM20" s="1053">
        <f t="shared" si="124"/>
        <v>4.5637974230493921</v>
      </c>
      <c r="EN20" s="1053">
        <f t="shared" si="125"/>
        <v>1.8794738725841087</v>
      </c>
      <c r="EO20" s="1053">
        <f t="shared" si="126"/>
        <v>-0.11885588165115722</v>
      </c>
      <c r="EP20" s="1065" t="str">
        <f t="shared" si="127"/>
        <v>ML1.5</v>
      </c>
      <c r="EQ20" s="835"/>
      <c r="ER20" s="837" t="str">
        <f t="shared" si="128"/>
        <v>ML1</v>
      </c>
      <c r="ES20" s="837" t="str">
        <f t="shared" si="138"/>
        <v>ML5.5</v>
      </c>
    </row>
    <row r="21" spans="1:149" s="504" customFormat="1" x14ac:dyDescent="0.25">
      <c r="A21" s="514" t="s">
        <v>214</v>
      </c>
      <c r="B21" s="757" t="str">
        <f>VLOOKUP($A21,'TIS Site Config'!$A$3:$AQ$51,2,FALSE)</f>
        <v>D07</v>
      </c>
      <c r="C21" s="753" t="str">
        <f>IF(VLOOKUP($A21,'TIS Site Config'!$A$3:$AQ$51,3,FALSE)&lt;&gt;"",
              VLOOKUP($A21,'TIS Site Config'!$A$3:$AQ$51,3,FALSE),"")</f>
        <v>B-FY15-1</v>
      </c>
      <c r="D21" s="932" t="str">
        <f>VLOOKUP($A21,'TIS Site Config'!$A$3:$AQ$51,4,FALSE)</f>
        <v>Mountain Lake Biological Station</v>
      </c>
      <c r="E21" s="784">
        <f t="shared" si="129"/>
        <v>6</v>
      </c>
      <c r="F21" s="864"/>
      <c r="G21" s="506">
        <v>0.3</v>
      </c>
      <c r="H21" s="506">
        <v>4</v>
      </c>
      <c r="I21" s="506">
        <v>8</v>
      </c>
      <c r="J21" s="506">
        <v>14</v>
      </c>
      <c r="K21" s="506">
        <v>20</v>
      </c>
      <c r="L21" s="506">
        <v>28</v>
      </c>
      <c r="M21" s="506"/>
      <c r="N21" s="507"/>
      <c r="O21" s="615">
        <v>94</v>
      </c>
      <c r="P21" s="616" t="s">
        <v>138</v>
      </c>
      <c r="Q21" s="770">
        <f t="shared" si="130"/>
        <v>8</v>
      </c>
      <c r="R21" s="611">
        <v>1</v>
      </c>
      <c r="S21" s="611"/>
      <c r="T21" s="366" t="s">
        <v>203</v>
      </c>
      <c r="U21" s="366" t="s">
        <v>203</v>
      </c>
      <c r="V21" s="366" t="s">
        <v>203</v>
      </c>
      <c r="W21" s="366" t="s">
        <v>203</v>
      </c>
      <c r="X21" s="366" t="s">
        <v>203</v>
      </c>
      <c r="Y21" s="366" t="s">
        <v>203</v>
      </c>
      <c r="Z21" s="366" t="s">
        <v>203</v>
      </c>
      <c r="AA21" s="366" t="s">
        <v>203</v>
      </c>
      <c r="AB21" s="366"/>
      <c r="AC21" s="366"/>
      <c r="AD21" s="366"/>
      <c r="AE21" s="366"/>
      <c r="AF21" s="366"/>
      <c r="AG21" s="366"/>
      <c r="AH21" s="366"/>
      <c r="AI21" s="366"/>
      <c r="AJ21" s="366"/>
      <c r="AK21" s="605"/>
      <c r="AL21" s="508">
        <v>3</v>
      </c>
      <c r="AM21" s="773">
        <f t="shared" si="131"/>
        <v>25.5</v>
      </c>
      <c r="AN21" s="506"/>
      <c r="AO21" s="787">
        <f t="shared" si="76"/>
        <v>2.0416666666666665</v>
      </c>
      <c r="AP21" s="841">
        <v>0.3</v>
      </c>
      <c r="AQ21" s="842">
        <v>4</v>
      </c>
      <c r="AR21" s="842">
        <v>8</v>
      </c>
      <c r="AS21" s="842">
        <v>14</v>
      </c>
      <c r="AT21" s="842">
        <v>20</v>
      </c>
      <c r="AU21" s="842">
        <v>28</v>
      </c>
      <c r="AV21" s="842"/>
      <c r="AW21" s="843"/>
      <c r="AX21" s="854">
        <v>0.3</v>
      </c>
      <c r="AY21" s="855">
        <v>4</v>
      </c>
      <c r="AZ21" s="855">
        <v>8</v>
      </c>
      <c r="BA21" s="855">
        <v>14</v>
      </c>
      <c r="BB21" s="855">
        <v>20</v>
      </c>
      <c r="BC21" s="855">
        <v>28</v>
      </c>
      <c r="BD21" s="855">
        <v>0</v>
      </c>
      <c r="BE21" s="856">
        <v>0</v>
      </c>
      <c r="BF21" s="792">
        <f t="shared" si="77"/>
        <v>-9.6128608923884501E-2</v>
      </c>
      <c r="BG21" s="598">
        <f t="shared" si="78"/>
        <v>1.0074266284896207</v>
      </c>
      <c r="BH21" s="598">
        <f t="shared" si="79"/>
        <v>2.200459317585302</v>
      </c>
      <c r="BI21" s="598">
        <f t="shared" si="80"/>
        <v>3.9900083512288238</v>
      </c>
      <c r="BJ21" s="598">
        <f t="shared" si="81"/>
        <v>5.779557384872346</v>
      </c>
      <c r="BK21" s="598">
        <f t="shared" si="82"/>
        <v>8</v>
      </c>
      <c r="BL21" s="598">
        <f t="shared" si="83"/>
        <v>0</v>
      </c>
      <c r="BM21" s="793">
        <f t="shared" si="84"/>
        <v>0</v>
      </c>
      <c r="BN21" s="801">
        <f t="shared" si="139"/>
        <v>1</v>
      </c>
      <c r="BO21" s="366">
        <f t="shared" si="140"/>
        <v>1</v>
      </c>
      <c r="BP21" s="366">
        <f t="shared" si="140"/>
        <v>1</v>
      </c>
      <c r="BQ21" s="367">
        <f t="shared" si="140"/>
        <v>1</v>
      </c>
      <c r="BR21" s="367">
        <f t="shared" si="140"/>
        <v>0</v>
      </c>
      <c r="BS21" s="367">
        <f t="shared" si="140"/>
        <v>1</v>
      </c>
      <c r="BT21" s="367">
        <f t="shared" si="140"/>
        <v>0</v>
      </c>
      <c r="BU21" s="366">
        <f t="shared" si="140"/>
        <v>0</v>
      </c>
      <c r="BV21" s="366">
        <f t="shared" si="140"/>
        <v>1</v>
      </c>
      <c r="BW21" s="366" t="str">
        <f t="shared" si="140"/>
        <v/>
      </c>
      <c r="BX21" s="366" t="str">
        <f t="shared" si="140"/>
        <v/>
      </c>
      <c r="BY21" s="366" t="str">
        <f t="shared" si="140"/>
        <v/>
      </c>
      <c r="BZ21" s="366" t="str">
        <f t="shared" si="140"/>
        <v/>
      </c>
      <c r="CA21" s="366" t="str">
        <f t="shared" si="140"/>
        <v/>
      </c>
      <c r="CB21" s="366" t="str">
        <f t="shared" si="140"/>
        <v/>
      </c>
      <c r="CC21" s="366" t="str">
        <f t="shared" si="143"/>
        <v/>
      </c>
      <c r="CD21" s="366" t="str">
        <f t="shared" si="143"/>
        <v/>
      </c>
      <c r="CE21" s="366" t="str">
        <f t="shared" si="141"/>
        <v/>
      </c>
      <c r="CF21" s="798" t="str">
        <f t="shared" si="142"/>
        <v/>
      </c>
      <c r="CG21" s="805" t="str">
        <f t="shared" si="88"/>
        <v>B, ML above</v>
      </c>
      <c r="CH21" s="594" t="str">
        <f t="shared" si="89"/>
        <v>ML</v>
      </c>
      <c r="CI21" s="594" t="str">
        <f t="shared" si="90"/>
        <v>ML</v>
      </c>
      <c r="CJ21" s="594" t="str">
        <f t="shared" si="91"/>
        <v>p-thru</v>
      </c>
      <c r="CK21" s="594" t="str">
        <f t="shared" si="92"/>
        <v>ML</v>
      </c>
      <c r="CL21" s="594" t="str">
        <f t="shared" si="93"/>
        <v>p-thru</v>
      </c>
      <c r="CM21" s="594" t="str">
        <f t="shared" si="94"/>
        <v>p-thru</v>
      </c>
      <c r="CN21" s="594" t="str">
        <f t="shared" si="95"/>
        <v>TOP</v>
      </c>
      <c r="CO21" s="594" t="str">
        <f t="shared" si="96"/>
        <v/>
      </c>
      <c r="CP21" s="594" t="str">
        <f t="shared" si="97"/>
        <v/>
      </c>
      <c r="CQ21" s="594" t="str">
        <f t="shared" si="98"/>
        <v/>
      </c>
      <c r="CR21" s="594" t="str">
        <f t="shared" si="99"/>
        <v/>
      </c>
      <c r="CS21" s="594" t="str">
        <f t="shared" si="100"/>
        <v/>
      </c>
      <c r="CT21" s="594" t="str">
        <f t="shared" si="101"/>
        <v/>
      </c>
      <c r="CU21" s="594" t="str">
        <f t="shared" si="102"/>
        <v/>
      </c>
      <c r="CV21" s="594" t="str">
        <f t="shared" si="103"/>
        <v/>
      </c>
      <c r="CW21" s="594" t="str">
        <f t="shared" si="104"/>
        <v/>
      </c>
      <c r="CX21" s="806" t="str">
        <f t="shared" si="105"/>
        <v/>
      </c>
      <c r="CY21" s="815">
        <f>IF(VLOOKUP(A21,'TIS Site Config'!$A$4:$AQ$51,6,FALSE)="Non-heated",COUNTIF($CG21:$CX21,$DT$3),0)</f>
        <v>0</v>
      </c>
      <c r="CZ21" s="738">
        <f>IF(OR(VLOOKUP(A21,'TIS Site Config'!$A$4:$AQ$51,6,FALSE)="Heated",VLOOKUP(A21,'TIS Site Config'!$A$4:$AQ$51,6,FALSE)="Extreme Heated"),COUNTIF($CG21:$CX21,$DT$3),0)</f>
        <v>0</v>
      </c>
      <c r="DA21" s="738">
        <f>IF(VLOOKUP(A21,'TIS Site Config'!$A$4:$AQ$51,6,FALSE)="Non-heated",COUNTIF($CG21:$CX21,$DU$3),0)</f>
        <v>0</v>
      </c>
      <c r="DB21" s="738">
        <f>IF(OR(VLOOKUP(A21,'TIS Site Config'!$A$4:$AQ$51,6,FALSE)="Heated",VLOOKUP(A21,'TIS Site Config'!$A$4:$AQ$51,6,FALSE)="Extreme heated"),COUNTIF($CG21:$CX21,$DU$3),0)</f>
        <v>1</v>
      </c>
      <c r="DC21" s="738">
        <f>IF(VLOOKUP(A21,'TIS Site Config'!$A$4:$AQ$51,6,FALSE)="Non-heated",COUNTIF($CG21:$CX21,$DW$3),0)</f>
        <v>0</v>
      </c>
      <c r="DD21" s="738">
        <f>IF(OR(VLOOKUP(A21,'TIS Site Config'!$A$4:$AQ$51,6,FALSE)="Heated",VLOOKUP(A21,'TIS Site Config'!$A$4:$AQ$51,6,FALSE)="Extreme heated"),COUNTIF($CG21:$CX21,$DW$3),0)</f>
        <v>3</v>
      </c>
      <c r="DE21" s="738">
        <f t="shared" si="132"/>
        <v>3</v>
      </c>
      <c r="DF21" s="738">
        <f>IF(VLOOKUP(A21,'TIS Site Config'!$A$4:$AQ$51,6,FALSE)="Non-heated",COUNTIF($CG21:$CX21,$DX$3),0)</f>
        <v>0</v>
      </c>
      <c r="DG21" s="738">
        <f>IF(OR(VLOOKUP(A21,'TIS Site Config'!$A$4:$AQ$51,6,FALSE)="Heated",VLOOKUP(A21,'TIS Site Config'!$A$4:$AQ$51,6,FALSE)="Extreme heated"),COUNTIF($CG21:$CX21,$DX$3),0)</f>
        <v>1</v>
      </c>
      <c r="DH21" s="812"/>
      <c r="DI21" s="790">
        <f t="shared" si="133"/>
        <v>0</v>
      </c>
      <c r="DJ21" s="357">
        <f t="shared" si="134"/>
        <v>0</v>
      </c>
      <c r="DK21" s="357">
        <f t="shared" si="135"/>
        <v>5</v>
      </c>
      <c r="DL21" s="606">
        <v>1</v>
      </c>
      <c r="DM21" s="607">
        <f t="shared" si="106"/>
        <v>6</v>
      </c>
      <c r="DN21" s="883">
        <f t="shared" si="136"/>
        <v>0</v>
      </c>
      <c r="DO21" s="593">
        <f t="shared" si="107"/>
        <v>2</v>
      </c>
      <c r="DP21" s="593">
        <f t="shared" si="108"/>
        <v>3</v>
      </c>
      <c r="DR21" s="504">
        <f t="shared" si="109"/>
        <v>8</v>
      </c>
      <c r="DS21" s="504">
        <f t="shared" si="110"/>
        <v>0</v>
      </c>
      <c r="DT21" s="504">
        <f t="shared" si="111"/>
        <v>0</v>
      </c>
      <c r="DZ21" s="792">
        <f t="shared" si="137"/>
        <v>-9.6128608923884501E-2</v>
      </c>
      <c r="EA21" s="598">
        <f t="shared" si="112"/>
        <v>1.0074266284896207</v>
      </c>
      <c r="EB21" s="598">
        <f t="shared" si="113"/>
        <v>2.200459317585302</v>
      </c>
      <c r="EC21" s="598">
        <f t="shared" si="114"/>
        <v>3.9900083512288238</v>
      </c>
      <c r="ED21" s="598">
        <f t="shared" si="115"/>
        <v>5.779557384872346</v>
      </c>
      <c r="EE21" s="598">
        <f t="shared" si="116"/>
        <v>8</v>
      </c>
      <c r="EF21" s="598">
        <f t="shared" si="117"/>
        <v>100</v>
      </c>
      <c r="EG21" s="793">
        <f t="shared" si="118"/>
        <v>100</v>
      </c>
      <c r="EH21" s="1055">
        <f t="shared" si="119"/>
        <v>100</v>
      </c>
      <c r="EI21" s="1055">
        <f t="shared" si="120"/>
        <v>100</v>
      </c>
      <c r="EJ21" s="1055">
        <f t="shared" si="121"/>
        <v>8</v>
      </c>
      <c r="EK21" s="1055">
        <f t="shared" si="122"/>
        <v>5.779557384872346</v>
      </c>
      <c r="EL21" s="1055">
        <f t="shared" si="123"/>
        <v>3.9900083512288238</v>
      </c>
      <c r="EM21" s="1055">
        <f t="shared" si="124"/>
        <v>2.200459317585302</v>
      </c>
      <c r="EN21" s="1055">
        <f t="shared" si="125"/>
        <v>1.0074266284896207</v>
      </c>
      <c r="EO21" s="1055">
        <f t="shared" si="126"/>
        <v>-9.6128608923884501E-2</v>
      </c>
      <c r="EP21" s="1069" t="str">
        <f t="shared" si="127"/>
        <v>ML2.5</v>
      </c>
      <c r="EQ21" s="792"/>
      <c r="ER21" s="793" t="str">
        <f t="shared" si="128"/>
        <v>ML1</v>
      </c>
      <c r="ES21" s="793" t="str">
        <f t="shared" si="138"/>
        <v>ML5.5</v>
      </c>
    </row>
    <row r="22" spans="1:149" s="504" customFormat="1" ht="15.75" thickBot="1" x14ac:dyDescent="0.3">
      <c r="A22" s="377" t="s">
        <v>213</v>
      </c>
      <c r="B22" s="761" t="str">
        <f>VLOOKUP($A22,'TIS Site Config'!$A$3:$AQ$51,2,FALSE)</f>
        <v>D07</v>
      </c>
      <c r="C22" s="751" t="str">
        <f>IF(VLOOKUP($A22,'TIS Site Config'!$A$3:$AQ$51,3,FALSE)&lt;&gt;"",
              VLOOKUP($A22,'TIS Site Config'!$A$3:$AQ$51,3,FALSE),"")</f>
        <v>E-FY15-4</v>
      </c>
      <c r="D22" s="933" t="str">
        <f>VLOOKUP($A22,'TIS Site Config'!$A$3:$AQ$51,4,FALSE)</f>
        <v>Great Smoky Mountains National Park, Twin Creeks</v>
      </c>
      <c r="E22" s="786">
        <f t="shared" si="129"/>
        <v>6</v>
      </c>
      <c r="F22" s="866"/>
      <c r="G22" s="373">
        <v>0.3</v>
      </c>
      <c r="H22" s="373">
        <v>7</v>
      </c>
      <c r="I22" s="373">
        <v>16</v>
      </c>
      <c r="J22" s="373">
        <v>25</v>
      </c>
      <c r="K22" s="373">
        <v>34</v>
      </c>
      <c r="L22" s="373">
        <v>45</v>
      </c>
      <c r="M22" s="373"/>
      <c r="N22" s="374"/>
      <c r="O22" s="617">
        <v>149</v>
      </c>
      <c r="P22" s="618" t="s">
        <v>138</v>
      </c>
      <c r="Q22" s="772">
        <f t="shared" si="130"/>
        <v>13</v>
      </c>
      <c r="R22" s="620">
        <v>1</v>
      </c>
      <c r="S22" s="620"/>
      <c r="T22" s="371" t="s">
        <v>203</v>
      </c>
      <c r="U22" s="371" t="s">
        <v>203</v>
      </c>
      <c r="V22" s="371" t="s">
        <v>203</v>
      </c>
      <c r="W22" s="371" t="s">
        <v>203</v>
      </c>
      <c r="X22" s="371" t="s">
        <v>203</v>
      </c>
      <c r="Y22" s="371" t="s">
        <v>203</v>
      </c>
      <c r="Z22" s="371" t="s">
        <v>203</v>
      </c>
      <c r="AA22" s="371" t="s">
        <v>203</v>
      </c>
      <c r="AB22" s="371" t="s">
        <v>203</v>
      </c>
      <c r="AC22" s="371" t="s">
        <v>203</v>
      </c>
      <c r="AD22" s="371" t="s">
        <v>203</v>
      </c>
      <c r="AE22" s="371" t="s">
        <v>203</v>
      </c>
      <c r="AF22" s="371" t="s">
        <v>203</v>
      </c>
      <c r="AG22" s="371"/>
      <c r="AH22" s="371"/>
      <c r="AI22" s="371"/>
      <c r="AJ22" s="371"/>
      <c r="AK22" s="608"/>
      <c r="AL22" s="375">
        <v>4.5</v>
      </c>
      <c r="AM22" s="775">
        <f t="shared" si="131"/>
        <v>27</v>
      </c>
      <c r="AN22" s="373"/>
      <c r="AO22" s="789">
        <f t="shared" si="76"/>
        <v>2.1666666666666665</v>
      </c>
      <c r="AP22" s="844">
        <v>0.3</v>
      </c>
      <c r="AQ22" s="845">
        <v>7</v>
      </c>
      <c r="AR22" s="845">
        <v>16</v>
      </c>
      <c r="AS22" s="845">
        <v>25</v>
      </c>
      <c r="AT22" s="845">
        <v>34</v>
      </c>
      <c r="AU22" s="845">
        <v>45</v>
      </c>
      <c r="AV22" s="845"/>
      <c r="AW22" s="846"/>
      <c r="AX22" s="857">
        <v>0.3</v>
      </c>
      <c r="AY22" s="858">
        <v>7</v>
      </c>
      <c r="AZ22" s="858">
        <v>16</v>
      </c>
      <c r="BA22" s="858">
        <v>25</v>
      </c>
      <c r="BB22" s="858">
        <v>34</v>
      </c>
      <c r="BC22" s="858">
        <v>45</v>
      </c>
      <c r="BD22" s="858">
        <v>0</v>
      </c>
      <c r="BE22" s="859">
        <v>0</v>
      </c>
      <c r="BF22" s="794">
        <f t="shared" si="77"/>
        <v>-0.10749224528752087</v>
      </c>
      <c r="BG22" s="599">
        <f t="shared" si="78"/>
        <v>1.8908375089477452</v>
      </c>
      <c r="BH22" s="599">
        <f t="shared" si="79"/>
        <v>4.5751610594130279</v>
      </c>
      <c r="BI22" s="599">
        <f t="shared" si="80"/>
        <v>7.2594846098783101</v>
      </c>
      <c r="BJ22" s="599">
        <f t="shared" si="81"/>
        <v>9.9438081603435933</v>
      </c>
      <c r="BK22" s="599">
        <f t="shared" si="82"/>
        <v>13</v>
      </c>
      <c r="BL22" s="599">
        <f t="shared" si="83"/>
        <v>0</v>
      </c>
      <c r="BM22" s="795">
        <f t="shared" si="84"/>
        <v>0</v>
      </c>
      <c r="BN22" s="802">
        <f t="shared" si="139"/>
        <v>1</v>
      </c>
      <c r="BO22" s="372">
        <f t="shared" si="140"/>
        <v>1</v>
      </c>
      <c r="BP22" s="372">
        <f t="shared" si="140"/>
        <v>0</v>
      </c>
      <c r="BQ22" s="371">
        <f t="shared" si="140"/>
        <v>0</v>
      </c>
      <c r="BR22" s="371">
        <f t="shared" si="140"/>
        <v>1</v>
      </c>
      <c r="BS22" s="371">
        <f t="shared" si="140"/>
        <v>0</v>
      </c>
      <c r="BT22" s="371">
        <f t="shared" si="140"/>
        <v>0</v>
      </c>
      <c r="BU22" s="371">
        <f t="shared" si="140"/>
        <v>1</v>
      </c>
      <c r="BV22" s="371">
        <f t="shared" si="140"/>
        <v>0</v>
      </c>
      <c r="BW22" s="372">
        <f t="shared" si="140"/>
        <v>1</v>
      </c>
      <c r="BX22" s="372">
        <f t="shared" si="140"/>
        <v>0</v>
      </c>
      <c r="BY22" s="371">
        <f t="shared" si="140"/>
        <v>0</v>
      </c>
      <c r="BZ22" s="371">
        <f t="shared" si="140"/>
        <v>0</v>
      </c>
      <c r="CA22" s="371">
        <f t="shared" si="140"/>
        <v>1</v>
      </c>
      <c r="CB22" s="371" t="str">
        <f t="shared" si="140"/>
        <v/>
      </c>
      <c r="CC22" s="371" t="str">
        <f t="shared" si="143"/>
        <v/>
      </c>
      <c r="CD22" s="371" t="str">
        <f t="shared" si="143"/>
        <v/>
      </c>
      <c r="CE22" s="371" t="str">
        <f t="shared" si="141"/>
        <v/>
      </c>
      <c r="CF22" s="799" t="str">
        <f t="shared" si="142"/>
        <v/>
      </c>
      <c r="CG22" s="807" t="str">
        <f t="shared" si="88"/>
        <v>B, ML above</v>
      </c>
      <c r="CH22" s="595" t="str">
        <f t="shared" si="89"/>
        <v>p-thru</v>
      </c>
      <c r="CI22" s="595" t="str">
        <f t="shared" si="90"/>
        <v>p-thru</v>
      </c>
      <c r="CJ22" s="595" t="str">
        <f t="shared" si="91"/>
        <v>ML</v>
      </c>
      <c r="CK22" s="595" t="str">
        <f t="shared" si="92"/>
        <v>p-thru</v>
      </c>
      <c r="CL22" s="595" t="str">
        <f t="shared" si="93"/>
        <v>p-thru</v>
      </c>
      <c r="CM22" s="595" t="str">
        <f t="shared" si="94"/>
        <v>ML</v>
      </c>
      <c r="CN22" s="595" t="str">
        <f t="shared" si="95"/>
        <v>p-thru</v>
      </c>
      <c r="CO22" s="595" t="str">
        <f t="shared" si="96"/>
        <v>ML</v>
      </c>
      <c r="CP22" s="595" t="str">
        <f t="shared" si="97"/>
        <v>p-thru</v>
      </c>
      <c r="CQ22" s="595" t="str">
        <f t="shared" si="98"/>
        <v>p-thru</v>
      </c>
      <c r="CR22" s="595" t="str">
        <f t="shared" si="99"/>
        <v>p-thru</v>
      </c>
      <c r="CS22" s="595" t="str">
        <f t="shared" si="100"/>
        <v>TOP</v>
      </c>
      <c r="CT22" s="595" t="str">
        <f t="shared" si="101"/>
        <v/>
      </c>
      <c r="CU22" s="595" t="str">
        <f t="shared" si="102"/>
        <v/>
      </c>
      <c r="CV22" s="595" t="str">
        <f t="shared" si="103"/>
        <v/>
      </c>
      <c r="CW22" s="595" t="str">
        <f t="shared" si="104"/>
        <v/>
      </c>
      <c r="CX22" s="808" t="str">
        <f t="shared" si="105"/>
        <v/>
      </c>
      <c r="CY22" s="816">
        <f>IF(VLOOKUP(A22,'TIS Site Config'!$A$4:$AQ$51,6,FALSE)="Non-heated",COUNTIF($CG22:$CX22,$DT$3),0)</f>
        <v>0</v>
      </c>
      <c r="CZ22" s="596">
        <f>IF(OR(VLOOKUP(A22,'TIS Site Config'!$A$4:$AQ$51,6,FALSE)="Heated",VLOOKUP(A22,'TIS Site Config'!$A$4:$AQ$51,6,FALSE)="Extreme Heated"),COUNTIF($CG22:$CX22,$DT$3),0)</f>
        <v>0</v>
      </c>
      <c r="DA22" s="596">
        <f>IF(VLOOKUP(A22,'TIS Site Config'!$A$4:$AQ$51,6,FALSE)="Non-heated",COUNTIF($CG22:$CX22,$DU$3),0)</f>
        <v>0</v>
      </c>
      <c r="DB22" s="596">
        <f>IF(OR(VLOOKUP(A22,'TIS Site Config'!$A$4:$AQ$51,6,FALSE)="Heated",VLOOKUP(A22,'TIS Site Config'!$A$4:$AQ$51,6,FALSE)="Extreme heated"),COUNTIF($CG22:$CX22,$DU$3),0)</f>
        <v>1</v>
      </c>
      <c r="DC22" s="596">
        <f>IF(VLOOKUP(A22,'TIS Site Config'!$A$4:$AQ$51,6,FALSE)="Non-heated",COUNTIF($CG22:$CX22,$DW$3),0)</f>
        <v>0</v>
      </c>
      <c r="DD22" s="596">
        <f>IF(OR(VLOOKUP(A22,'TIS Site Config'!$A$4:$AQ$51,6,FALSE)="Heated",VLOOKUP(A22,'TIS Site Config'!$A$4:$AQ$51,6,FALSE)="Extreme heated"),COUNTIF($CG22:$CX22,$DW$3),0)</f>
        <v>3</v>
      </c>
      <c r="DE22" s="596">
        <f t="shared" si="132"/>
        <v>8</v>
      </c>
      <c r="DF22" s="596">
        <f>IF(VLOOKUP(A22,'TIS Site Config'!$A$4:$AQ$51,6,FALSE)="Non-heated",COUNTIF($CG22:$CX22,$DX$3),0)</f>
        <v>0</v>
      </c>
      <c r="DG22" s="596">
        <f>IF(OR(VLOOKUP(A22,'TIS Site Config'!$A$4:$AQ$51,6,FALSE)="Heated",VLOOKUP(A22,'TIS Site Config'!$A$4:$AQ$51,6,FALSE)="Extreme heated"),COUNTIF($CG22:$CX22,$DX$3),0)</f>
        <v>1</v>
      </c>
      <c r="DH22" s="817"/>
      <c r="DI22" s="791">
        <f t="shared" si="133"/>
        <v>0</v>
      </c>
      <c r="DJ22" s="365">
        <f t="shared" si="134"/>
        <v>0</v>
      </c>
      <c r="DK22" s="365">
        <f t="shared" si="135"/>
        <v>5</v>
      </c>
      <c r="DL22" s="376">
        <v>1</v>
      </c>
      <c r="DM22" s="609">
        <f t="shared" si="106"/>
        <v>6</v>
      </c>
      <c r="DN22" s="883">
        <f t="shared" si="136"/>
        <v>0</v>
      </c>
      <c r="DO22" s="593">
        <f t="shared" si="107"/>
        <v>2</v>
      </c>
      <c r="DP22" s="593">
        <f t="shared" si="108"/>
        <v>5</v>
      </c>
      <c r="DR22" s="504">
        <f t="shared" si="109"/>
        <v>13</v>
      </c>
      <c r="DS22" s="504">
        <f t="shared" si="110"/>
        <v>0</v>
      </c>
      <c r="DT22" s="504">
        <f t="shared" si="111"/>
        <v>0</v>
      </c>
      <c r="DZ22" s="794">
        <f t="shared" si="137"/>
        <v>-0.10749224528752087</v>
      </c>
      <c r="EA22" s="599">
        <f t="shared" si="112"/>
        <v>1.8908375089477452</v>
      </c>
      <c r="EB22" s="599">
        <f t="shared" si="113"/>
        <v>4.5751610594130279</v>
      </c>
      <c r="EC22" s="599">
        <f t="shared" si="114"/>
        <v>7.2594846098783101</v>
      </c>
      <c r="ED22" s="599">
        <f t="shared" si="115"/>
        <v>9.9438081603435933</v>
      </c>
      <c r="EE22" s="599">
        <f t="shared" si="116"/>
        <v>13</v>
      </c>
      <c r="EF22" s="599">
        <f t="shared" si="117"/>
        <v>100</v>
      </c>
      <c r="EG22" s="795">
        <f t="shared" si="118"/>
        <v>100</v>
      </c>
      <c r="EH22" s="1054">
        <f t="shared" si="119"/>
        <v>100</v>
      </c>
      <c r="EI22" s="1054">
        <f t="shared" si="120"/>
        <v>100</v>
      </c>
      <c r="EJ22" s="1054">
        <f t="shared" si="121"/>
        <v>13</v>
      </c>
      <c r="EK22" s="1054">
        <f t="shared" si="122"/>
        <v>9.9438081603435933</v>
      </c>
      <c r="EL22" s="1054">
        <f t="shared" si="123"/>
        <v>7.2594846098783101</v>
      </c>
      <c r="EM22" s="1054">
        <f t="shared" si="124"/>
        <v>4.5751610594130279</v>
      </c>
      <c r="EN22" s="1054">
        <f t="shared" si="125"/>
        <v>1.8908375089477452</v>
      </c>
      <c r="EO22" s="1054">
        <f t="shared" si="126"/>
        <v>-0.10749224528752087</v>
      </c>
      <c r="EP22" s="1070" t="str">
        <f t="shared" si="127"/>
        <v>ML1.5</v>
      </c>
      <c r="EQ22" s="794"/>
      <c r="ER22" s="795" t="str">
        <f t="shared" si="128"/>
        <v>ML1</v>
      </c>
      <c r="ES22" s="795" t="str">
        <f t="shared" si="138"/>
        <v>ML5.5</v>
      </c>
    </row>
    <row r="23" spans="1:149" s="504" customFormat="1" x14ac:dyDescent="0.25">
      <c r="A23" s="584" t="s">
        <v>233</v>
      </c>
      <c r="B23" s="930" t="str">
        <f>VLOOKUP($A23,'TIS Site Config'!$A$3:$AQ$51,2,FALSE)</f>
        <v>D08</v>
      </c>
      <c r="C23" s="934" t="str">
        <f>IF(VLOOKUP($A23,'TIS Site Config'!$A$3:$AQ$51,3,FALSE)&lt;&gt;"",
              VLOOKUP($A23,'TIS Site Config'!$A$3:$AQ$51,3,FALSE),"")</f>
        <v>B-FY15-1</v>
      </c>
      <c r="D23" s="931" t="str">
        <f>VLOOKUP($A23,'TIS Site Config'!$A$3:$AQ$51,4,FALSE)</f>
        <v>Talladega National Forest</v>
      </c>
      <c r="E23" s="784">
        <f t="shared" si="129"/>
        <v>5</v>
      </c>
      <c r="F23" s="864"/>
      <c r="G23" s="597">
        <v>0.3</v>
      </c>
      <c r="H23" s="597">
        <v>2</v>
      </c>
      <c r="I23" s="597">
        <v>22</v>
      </c>
      <c r="J23" s="597">
        <v>28</v>
      </c>
      <c r="K23" s="597">
        <v>35</v>
      </c>
      <c r="L23" s="597"/>
      <c r="M23" s="597"/>
      <c r="N23" s="826"/>
      <c r="O23" s="613">
        <v>116</v>
      </c>
      <c r="P23" s="614" t="s">
        <v>138</v>
      </c>
      <c r="Q23" s="770">
        <f t="shared" si="130"/>
        <v>10</v>
      </c>
      <c r="R23" s="611">
        <v>1</v>
      </c>
      <c r="S23" s="611"/>
      <c r="T23" s="368" t="s">
        <v>203</v>
      </c>
      <c r="U23" s="368" t="s">
        <v>203</v>
      </c>
      <c r="V23" s="368" t="s">
        <v>203</v>
      </c>
      <c r="W23" s="368" t="s">
        <v>203</v>
      </c>
      <c r="X23" s="368" t="s">
        <v>203</v>
      </c>
      <c r="Y23" s="368" t="s">
        <v>203</v>
      </c>
      <c r="Z23" s="368" t="s">
        <v>203</v>
      </c>
      <c r="AA23" s="368" t="s">
        <v>203</v>
      </c>
      <c r="AB23" s="368" t="s">
        <v>203</v>
      </c>
      <c r="AC23" s="368" t="s">
        <v>203</v>
      </c>
      <c r="AD23" s="368"/>
      <c r="AE23" s="368"/>
      <c r="AF23" s="368"/>
      <c r="AG23" s="368"/>
      <c r="AH23" s="368"/>
      <c r="AI23" s="368"/>
      <c r="AJ23" s="368"/>
      <c r="AK23" s="602"/>
      <c r="AL23" s="819">
        <v>3</v>
      </c>
      <c r="AM23" s="773">
        <f t="shared" si="131"/>
        <v>25.5</v>
      </c>
      <c r="AN23" s="597"/>
      <c r="AO23" s="787">
        <f t="shared" si="76"/>
        <v>2.0416666666666665</v>
      </c>
      <c r="AP23" s="838">
        <v>0.3</v>
      </c>
      <c r="AQ23" s="839">
        <v>2</v>
      </c>
      <c r="AR23" s="839">
        <v>22</v>
      </c>
      <c r="AS23" s="839">
        <v>28</v>
      </c>
      <c r="AT23" s="839">
        <v>35</v>
      </c>
      <c r="AU23" s="839"/>
      <c r="AV23" s="839"/>
      <c r="AW23" s="840"/>
      <c r="AX23" s="860">
        <v>0.3</v>
      </c>
      <c r="AY23" s="852">
        <v>2</v>
      </c>
      <c r="AZ23" s="852">
        <v>22</v>
      </c>
      <c r="BA23" s="852">
        <v>28</v>
      </c>
      <c r="BB23" s="852">
        <v>35</v>
      </c>
      <c r="BC23" s="852">
        <v>0</v>
      </c>
      <c r="BD23" s="852">
        <v>0</v>
      </c>
      <c r="BE23" s="853">
        <v>0</v>
      </c>
      <c r="BF23" s="835">
        <f t="shared" si="77"/>
        <v>-9.6128608923884501E-2</v>
      </c>
      <c r="BG23" s="836">
        <f t="shared" si="78"/>
        <v>0.41091028394178009</v>
      </c>
      <c r="BH23" s="836">
        <f t="shared" si="79"/>
        <v>6.3760737294201855</v>
      </c>
      <c r="BI23" s="836">
        <f t="shared" si="80"/>
        <v>8.1656227630637073</v>
      </c>
      <c r="BJ23" s="836">
        <f t="shared" si="81"/>
        <v>10</v>
      </c>
      <c r="BK23" s="836">
        <f t="shared" si="82"/>
        <v>0</v>
      </c>
      <c r="BL23" s="836">
        <f t="shared" si="83"/>
        <v>0</v>
      </c>
      <c r="BM23" s="837">
        <f t="shared" si="84"/>
        <v>0</v>
      </c>
      <c r="BN23" s="800">
        <f t="shared" si="139"/>
        <v>2</v>
      </c>
      <c r="BO23" s="368">
        <f t="shared" si="140"/>
        <v>0</v>
      </c>
      <c r="BP23" s="368">
        <f t="shared" si="140"/>
        <v>0</v>
      </c>
      <c r="BQ23" s="368">
        <f t="shared" si="140"/>
        <v>0</v>
      </c>
      <c r="BR23" s="368">
        <f t="shared" si="140"/>
        <v>0</v>
      </c>
      <c r="BS23" s="368">
        <f t="shared" si="140"/>
        <v>0</v>
      </c>
      <c r="BT23" s="368">
        <f t="shared" si="140"/>
        <v>1</v>
      </c>
      <c r="BU23" s="368">
        <f t="shared" si="140"/>
        <v>0</v>
      </c>
      <c r="BV23" s="368">
        <f t="shared" si="140"/>
        <v>1</v>
      </c>
      <c r="BW23" s="368">
        <f t="shared" si="140"/>
        <v>0</v>
      </c>
      <c r="BX23" s="368">
        <f t="shared" si="140"/>
        <v>1</v>
      </c>
      <c r="BY23" s="368" t="str">
        <f t="shared" si="140"/>
        <v/>
      </c>
      <c r="BZ23" s="368" t="str">
        <f t="shared" si="140"/>
        <v/>
      </c>
      <c r="CA23" s="368" t="str">
        <f t="shared" si="140"/>
        <v/>
      </c>
      <c r="CB23" s="368" t="str">
        <f t="shared" si="140"/>
        <v/>
      </c>
      <c r="CC23" s="368" t="str">
        <f t="shared" si="143"/>
        <v/>
      </c>
      <c r="CD23" s="368" t="str">
        <f t="shared" si="143"/>
        <v/>
      </c>
      <c r="CE23" s="368" t="str">
        <f t="shared" si="141"/>
        <v/>
      </c>
      <c r="CF23" s="797" t="str">
        <f t="shared" si="142"/>
        <v/>
      </c>
      <c r="CG23" s="803" t="str">
        <f t="shared" si="88"/>
        <v>B, p-thru above</v>
      </c>
      <c r="CH23" s="591" t="str">
        <f t="shared" si="89"/>
        <v>p-thru</v>
      </c>
      <c r="CI23" s="591" t="str">
        <f t="shared" si="90"/>
        <v>p-thru</v>
      </c>
      <c r="CJ23" s="591" t="str">
        <f t="shared" si="91"/>
        <v>p-thru</v>
      </c>
      <c r="CK23" s="591" t="str">
        <f t="shared" si="92"/>
        <v>p-thru</v>
      </c>
      <c r="CL23" s="591" t="str">
        <f t="shared" si="93"/>
        <v>ML</v>
      </c>
      <c r="CM23" s="591" t="str">
        <f t="shared" si="94"/>
        <v>p-thru</v>
      </c>
      <c r="CN23" s="591" t="str">
        <f t="shared" si="95"/>
        <v>ML</v>
      </c>
      <c r="CO23" s="591" t="str">
        <f t="shared" si="96"/>
        <v>p-thru</v>
      </c>
      <c r="CP23" s="591" t="str">
        <f t="shared" si="97"/>
        <v>TOP</v>
      </c>
      <c r="CQ23" s="591" t="str">
        <f t="shared" si="98"/>
        <v/>
      </c>
      <c r="CR23" s="591" t="str">
        <f t="shared" si="99"/>
        <v/>
      </c>
      <c r="CS23" s="591" t="str">
        <f t="shared" si="100"/>
        <v/>
      </c>
      <c r="CT23" s="591" t="str">
        <f t="shared" si="101"/>
        <v/>
      </c>
      <c r="CU23" s="591" t="str">
        <f t="shared" si="102"/>
        <v/>
      </c>
      <c r="CV23" s="591" t="str">
        <f t="shared" si="103"/>
        <v/>
      </c>
      <c r="CW23" s="591" t="str">
        <f t="shared" si="104"/>
        <v/>
      </c>
      <c r="CX23" s="804" t="str">
        <f t="shared" si="105"/>
        <v/>
      </c>
      <c r="CY23" s="813">
        <f>IF(VLOOKUP(A23,'TIS Site Config'!$A$4:$AQ$51,6,FALSE)="Non-heated",COUNTIF($CG23:$CX23,$DT$3),0)</f>
        <v>1</v>
      </c>
      <c r="CZ23" s="592">
        <f>IF(OR(VLOOKUP(A23,'TIS Site Config'!$A$4:$AQ$51,6,FALSE)="Heated",VLOOKUP(A23,'TIS Site Config'!$A$4:$AQ$51,6,FALSE)="Extreme Heated"),COUNTIF($CG23:$CX23,$DT$3),0)</f>
        <v>0</v>
      </c>
      <c r="DA23" s="592">
        <f>IF(VLOOKUP(A23,'TIS Site Config'!$A$4:$AQ$51,6,FALSE)="Non-heated",COUNTIF($CG23:$CX23,$DU$3),0)</f>
        <v>0</v>
      </c>
      <c r="DB23" s="592">
        <f>IF(OR(VLOOKUP(A23,'TIS Site Config'!$A$4:$AQ$51,6,FALSE)="Heated",VLOOKUP(A23,'TIS Site Config'!$A$4:$AQ$51,6,FALSE)="Extreme heated"),COUNTIF($CG23:$CX23,$DU$3),0)</f>
        <v>0</v>
      </c>
      <c r="DC23" s="592">
        <f>IF(VLOOKUP(A23,'TIS Site Config'!$A$4:$AQ$51,6,FALSE)="Non-heated",COUNTIF($CG23:$CX23,$DW$3),0)</f>
        <v>2</v>
      </c>
      <c r="DD23" s="592">
        <f>IF(OR(VLOOKUP(A23,'TIS Site Config'!$A$4:$AQ$51,6,FALSE)="Heated",VLOOKUP(A23,'TIS Site Config'!$A$4:$AQ$51,6,FALSE)="Extreme heated"),COUNTIF($CG23:$CX23,$DW$3),0)</f>
        <v>0</v>
      </c>
      <c r="DE23" s="592">
        <f t="shared" si="132"/>
        <v>6</v>
      </c>
      <c r="DF23" s="592">
        <f>IF(VLOOKUP(A23,'TIS Site Config'!$A$4:$AQ$51,6,FALSE)="Non-heated",COUNTIF($CG23:$CX23,$DX$3),0)</f>
        <v>1</v>
      </c>
      <c r="DG23" s="592">
        <f>IF(OR(VLOOKUP(A23,'TIS Site Config'!$A$4:$AQ$51,6,FALSE)="Heated",VLOOKUP(A23,'TIS Site Config'!$A$4:$AQ$51,6,FALSE)="Extreme heated"),COUNTIF($CG23:$CX23,$DX$3),0)</f>
        <v>0</v>
      </c>
      <c r="DH23" s="814"/>
      <c r="DI23" s="810">
        <f t="shared" si="133"/>
        <v>0</v>
      </c>
      <c r="DJ23" s="355">
        <f t="shared" si="134"/>
        <v>0</v>
      </c>
      <c r="DK23" s="355">
        <f t="shared" si="135"/>
        <v>4</v>
      </c>
      <c r="DL23" s="603">
        <v>1</v>
      </c>
      <c r="DM23" s="604">
        <f t="shared" si="106"/>
        <v>5</v>
      </c>
      <c r="DN23" s="883">
        <f t="shared" si="136"/>
        <v>0</v>
      </c>
      <c r="DO23" s="593">
        <f t="shared" si="107"/>
        <v>1</v>
      </c>
      <c r="DP23" s="593">
        <f t="shared" si="108"/>
        <v>7</v>
      </c>
      <c r="DR23" s="504">
        <f t="shared" si="109"/>
        <v>10</v>
      </c>
      <c r="DS23" s="504">
        <f t="shared" si="110"/>
        <v>0</v>
      </c>
      <c r="DT23" s="504">
        <f t="shared" si="111"/>
        <v>0</v>
      </c>
      <c r="DZ23" s="835">
        <f t="shared" si="137"/>
        <v>-9.6128608923884501E-2</v>
      </c>
      <c r="EA23" s="836">
        <f t="shared" si="112"/>
        <v>0.41091028394178009</v>
      </c>
      <c r="EB23" s="836">
        <f t="shared" si="113"/>
        <v>6.3760737294201855</v>
      </c>
      <c r="EC23" s="836">
        <f t="shared" si="114"/>
        <v>8.1656227630637073</v>
      </c>
      <c r="ED23" s="836">
        <f t="shared" si="115"/>
        <v>10</v>
      </c>
      <c r="EE23" s="836">
        <f t="shared" si="116"/>
        <v>100</v>
      </c>
      <c r="EF23" s="836">
        <f t="shared" si="117"/>
        <v>100</v>
      </c>
      <c r="EG23" s="837">
        <f t="shared" si="118"/>
        <v>100</v>
      </c>
      <c r="EH23" s="1053">
        <f t="shared" si="119"/>
        <v>100</v>
      </c>
      <c r="EI23" s="1053">
        <f t="shared" si="120"/>
        <v>100</v>
      </c>
      <c r="EJ23" s="1053">
        <f t="shared" si="121"/>
        <v>100</v>
      </c>
      <c r="EK23" s="1053">
        <f t="shared" si="122"/>
        <v>10</v>
      </c>
      <c r="EL23" s="1053">
        <f t="shared" si="123"/>
        <v>8.1656227630637073</v>
      </c>
      <c r="EM23" s="1053">
        <f t="shared" si="124"/>
        <v>6.3760737294201855</v>
      </c>
      <c r="EN23" s="1053">
        <f t="shared" si="125"/>
        <v>0.41091028394178009</v>
      </c>
      <c r="EO23" s="1053">
        <f t="shared" si="126"/>
        <v>-9.6128608923884501E-2</v>
      </c>
      <c r="EP23" s="1065" t="str">
        <f t="shared" si="127"/>
        <v>ML2.5</v>
      </c>
      <c r="EQ23" s="835"/>
      <c r="ER23" s="837" t="str">
        <f t="shared" si="128"/>
        <v>ML1</v>
      </c>
      <c r="ES23" s="837" t="str">
        <f t="shared" si="138"/>
        <v>ML4.5</v>
      </c>
    </row>
    <row r="24" spans="1:149" s="504" customFormat="1" x14ac:dyDescent="0.25">
      <c r="A24" s="514" t="s">
        <v>215</v>
      </c>
      <c r="B24" s="757" t="str">
        <f>VLOOKUP($A24,'TIS Site Config'!$A$3:$AQ$51,2,FALSE)</f>
        <v>D08</v>
      </c>
      <c r="C24" s="753" t="str">
        <f>IF(VLOOKUP($A24,'TIS Site Config'!$A$3:$AQ$51,3,FALSE)&lt;&gt;"",
              VLOOKUP($A24,'TIS Site Config'!$A$3:$AQ$51,3,FALSE),"")</f>
        <v>A-FY14</v>
      </c>
      <c r="D24" s="932" t="str">
        <f>VLOOKUP($A24,'TIS Site Config'!$A$3:$AQ$51,4,FALSE)</f>
        <v>Dead Lake</v>
      </c>
      <c r="E24" s="784">
        <f t="shared" si="129"/>
        <v>6</v>
      </c>
      <c r="F24" s="864"/>
      <c r="G24" s="506">
        <v>0.3</v>
      </c>
      <c r="H24" s="506">
        <v>5</v>
      </c>
      <c r="I24" s="506">
        <v>19</v>
      </c>
      <c r="J24" s="506">
        <v>28</v>
      </c>
      <c r="K24" s="506">
        <v>33</v>
      </c>
      <c r="L24" s="506">
        <v>42</v>
      </c>
      <c r="M24" s="506"/>
      <c r="N24" s="507"/>
      <c r="O24" s="615">
        <v>138</v>
      </c>
      <c r="P24" s="616" t="s">
        <v>138</v>
      </c>
      <c r="Q24" s="770">
        <f t="shared" si="130"/>
        <v>12</v>
      </c>
      <c r="R24" s="611">
        <v>1</v>
      </c>
      <c r="S24" s="611"/>
      <c r="T24" s="366" t="s">
        <v>203</v>
      </c>
      <c r="U24" s="366" t="s">
        <v>203</v>
      </c>
      <c r="V24" s="366" t="s">
        <v>203</v>
      </c>
      <c r="W24" s="366" t="s">
        <v>203</v>
      </c>
      <c r="X24" s="366" t="s">
        <v>203</v>
      </c>
      <c r="Y24" s="366" t="s">
        <v>203</v>
      </c>
      <c r="Z24" s="366" t="s">
        <v>203</v>
      </c>
      <c r="AA24" s="366" t="s">
        <v>203</v>
      </c>
      <c r="AB24" s="366" t="s">
        <v>203</v>
      </c>
      <c r="AC24" s="366" t="s">
        <v>203</v>
      </c>
      <c r="AD24" s="366" t="s">
        <v>203</v>
      </c>
      <c r="AE24" s="366" t="s">
        <v>203</v>
      </c>
      <c r="AF24" s="366"/>
      <c r="AG24" s="366"/>
      <c r="AH24" s="366"/>
      <c r="AI24" s="366"/>
      <c r="AJ24" s="366"/>
      <c r="AK24" s="605"/>
      <c r="AL24" s="508">
        <v>6</v>
      </c>
      <c r="AM24" s="773">
        <f t="shared" si="131"/>
        <v>28.5</v>
      </c>
      <c r="AN24" s="506">
        <v>27.125</v>
      </c>
      <c r="AO24" s="787">
        <f t="shared" si="76"/>
        <v>2.1770833333333335</v>
      </c>
      <c r="AP24" s="841">
        <v>0.3</v>
      </c>
      <c r="AQ24" s="842">
        <v>5</v>
      </c>
      <c r="AR24" s="842">
        <v>19</v>
      </c>
      <c r="AS24" s="842">
        <v>28</v>
      </c>
      <c r="AT24" s="842">
        <v>33</v>
      </c>
      <c r="AU24" s="842">
        <v>42</v>
      </c>
      <c r="AV24" s="842"/>
      <c r="AW24" s="843"/>
      <c r="AX24" s="854">
        <v>0.3</v>
      </c>
      <c r="AY24" s="855">
        <v>5</v>
      </c>
      <c r="AZ24" s="855">
        <v>19</v>
      </c>
      <c r="BA24" s="855">
        <v>28</v>
      </c>
      <c r="BB24" s="855">
        <v>33</v>
      </c>
      <c r="BC24" s="855">
        <v>42</v>
      </c>
      <c r="BD24" s="855">
        <v>0</v>
      </c>
      <c r="BE24" s="856">
        <v>0</v>
      </c>
      <c r="BF24" s="792">
        <f t="shared" si="77"/>
        <v>-0.10843921498449059</v>
      </c>
      <c r="BG24" s="598">
        <f t="shared" si="78"/>
        <v>1.2933741947029349</v>
      </c>
      <c r="BH24" s="598">
        <f t="shared" si="79"/>
        <v>5.4689886065378195</v>
      </c>
      <c r="BI24" s="598">
        <f t="shared" si="80"/>
        <v>8.1533121570031017</v>
      </c>
      <c r="BJ24" s="598">
        <f t="shared" si="81"/>
        <v>9.6446030183727043</v>
      </c>
      <c r="BK24" s="598">
        <f t="shared" si="82"/>
        <v>12</v>
      </c>
      <c r="BL24" s="598">
        <f t="shared" si="83"/>
        <v>0</v>
      </c>
      <c r="BM24" s="793">
        <f t="shared" si="84"/>
        <v>0</v>
      </c>
      <c r="BN24" s="801">
        <f t="shared" si="139"/>
        <v>1</v>
      </c>
      <c r="BO24" s="366">
        <f t="shared" si="140"/>
        <v>1</v>
      </c>
      <c r="BP24" s="366">
        <f t="shared" si="140"/>
        <v>0</v>
      </c>
      <c r="BQ24" s="366">
        <f t="shared" si="140"/>
        <v>0</v>
      </c>
      <c r="BR24" s="366">
        <f t="shared" si="140"/>
        <v>0</v>
      </c>
      <c r="BS24" s="366">
        <f t="shared" si="140"/>
        <v>1</v>
      </c>
      <c r="BT24" s="366">
        <f t="shared" si="140"/>
        <v>0</v>
      </c>
      <c r="BU24" s="366">
        <f t="shared" si="140"/>
        <v>0</v>
      </c>
      <c r="BV24" s="366">
        <f t="shared" si="140"/>
        <v>1</v>
      </c>
      <c r="BW24" s="367">
        <f t="shared" si="140"/>
        <v>1</v>
      </c>
      <c r="BX24" s="367">
        <f t="shared" si="140"/>
        <v>0</v>
      </c>
      <c r="BY24" s="366">
        <f t="shared" si="140"/>
        <v>0</v>
      </c>
      <c r="BZ24" s="366">
        <f t="shared" si="140"/>
        <v>1</v>
      </c>
      <c r="CA24" s="366" t="str">
        <f t="shared" si="140"/>
        <v/>
      </c>
      <c r="CB24" s="366" t="str">
        <f t="shared" si="140"/>
        <v/>
      </c>
      <c r="CC24" s="366" t="str">
        <f t="shared" si="143"/>
        <v/>
      </c>
      <c r="CD24" s="366" t="str">
        <f t="shared" si="143"/>
        <v/>
      </c>
      <c r="CE24" s="366" t="str">
        <f t="shared" si="141"/>
        <v/>
      </c>
      <c r="CF24" s="798" t="str">
        <f t="shared" si="142"/>
        <v/>
      </c>
      <c r="CG24" s="805" t="str">
        <f t="shared" si="88"/>
        <v>B, ML above</v>
      </c>
      <c r="CH24" s="594" t="str">
        <f t="shared" si="89"/>
        <v>p-thru</v>
      </c>
      <c r="CI24" s="594" t="str">
        <f t="shared" si="90"/>
        <v>p-thru</v>
      </c>
      <c r="CJ24" s="594" t="str">
        <f t="shared" si="91"/>
        <v>p-thru</v>
      </c>
      <c r="CK24" s="594" t="str">
        <f t="shared" si="92"/>
        <v>ML</v>
      </c>
      <c r="CL24" s="594" t="str">
        <f t="shared" si="93"/>
        <v>p-thru</v>
      </c>
      <c r="CM24" s="594" t="str">
        <f t="shared" si="94"/>
        <v>p-thru</v>
      </c>
      <c r="CN24" s="594" t="str">
        <f t="shared" si="95"/>
        <v>ML</v>
      </c>
      <c r="CO24" s="594" t="str">
        <f t="shared" si="96"/>
        <v>ML</v>
      </c>
      <c r="CP24" s="594" t="str">
        <f t="shared" si="97"/>
        <v>p-thru</v>
      </c>
      <c r="CQ24" s="594" t="str">
        <f t="shared" si="98"/>
        <v>p-thru</v>
      </c>
      <c r="CR24" s="594" t="str">
        <f t="shared" si="99"/>
        <v>TOP</v>
      </c>
      <c r="CS24" s="594" t="str">
        <f t="shared" si="100"/>
        <v/>
      </c>
      <c r="CT24" s="594" t="str">
        <f t="shared" si="101"/>
        <v/>
      </c>
      <c r="CU24" s="594" t="str">
        <f t="shared" si="102"/>
        <v/>
      </c>
      <c r="CV24" s="594" t="str">
        <f t="shared" si="103"/>
        <v/>
      </c>
      <c r="CW24" s="594" t="str">
        <f t="shared" si="104"/>
        <v/>
      </c>
      <c r="CX24" s="806" t="str">
        <f t="shared" si="105"/>
        <v/>
      </c>
      <c r="CY24" s="815">
        <f>IF(VLOOKUP(A24,'TIS Site Config'!$A$4:$AQ$51,6,FALSE)="Non-heated",COUNTIF($CG24:$CX24,$DT$3),0)</f>
        <v>0</v>
      </c>
      <c r="CZ24" s="738">
        <f>IF(OR(VLOOKUP(A24,'TIS Site Config'!$A$4:$AQ$51,6,FALSE)="Heated",VLOOKUP(A24,'TIS Site Config'!$A$4:$AQ$51,6,FALSE)="Extreme Heated"),COUNTIF($CG24:$CX24,$DT$3),0)</f>
        <v>0</v>
      </c>
      <c r="DA24" s="738">
        <f>IF(VLOOKUP(A24,'TIS Site Config'!$A$4:$AQ$51,6,FALSE)="Non-heated",COUNTIF($CG24:$CX24,$DU$3),0)</f>
        <v>1</v>
      </c>
      <c r="DB24" s="738">
        <f>IF(OR(VLOOKUP(A24,'TIS Site Config'!$A$4:$AQ$51,6,FALSE)="Heated",VLOOKUP(A24,'TIS Site Config'!$A$4:$AQ$51,6,FALSE)="Extreme heated"),COUNTIF($CG24:$CX24,$DU$3),0)</f>
        <v>0</v>
      </c>
      <c r="DC24" s="738">
        <f>IF(VLOOKUP(A24,'TIS Site Config'!$A$4:$AQ$51,6,FALSE)="Non-heated",COUNTIF($CG24:$CX24,$DW$3),0)</f>
        <v>3</v>
      </c>
      <c r="DD24" s="738">
        <f>IF(OR(VLOOKUP(A24,'TIS Site Config'!$A$4:$AQ$51,6,FALSE)="Heated",VLOOKUP(A24,'TIS Site Config'!$A$4:$AQ$51,6,FALSE)="Extreme heated"),COUNTIF($CG24:$CX24,$DW$3),0)</f>
        <v>0</v>
      </c>
      <c r="DE24" s="738">
        <f t="shared" si="132"/>
        <v>7</v>
      </c>
      <c r="DF24" s="738">
        <f>IF(VLOOKUP(A24,'TIS Site Config'!$A$4:$AQ$51,6,FALSE)="Non-heated",COUNTIF($CG24:$CX24,$DX$3),0)</f>
        <v>1</v>
      </c>
      <c r="DG24" s="738">
        <f>IF(OR(VLOOKUP(A24,'TIS Site Config'!$A$4:$AQ$51,6,FALSE)="Heated",VLOOKUP(A24,'TIS Site Config'!$A$4:$AQ$51,6,FALSE)="Extreme heated"),COUNTIF($CG24:$CX24,$DX$3),0)</f>
        <v>0</v>
      </c>
      <c r="DH24" s="812"/>
      <c r="DI24" s="790">
        <f t="shared" si="133"/>
        <v>0</v>
      </c>
      <c r="DJ24" s="357">
        <f t="shared" si="134"/>
        <v>0</v>
      </c>
      <c r="DK24" s="357">
        <f t="shared" si="135"/>
        <v>5</v>
      </c>
      <c r="DL24" s="606">
        <v>1</v>
      </c>
      <c r="DM24" s="607">
        <f t="shared" si="106"/>
        <v>6</v>
      </c>
      <c r="DN24" s="883">
        <f t="shared" si="136"/>
        <v>0</v>
      </c>
      <c r="DO24" s="593">
        <f t="shared" si="107"/>
        <v>2</v>
      </c>
      <c r="DP24" s="593">
        <f t="shared" si="108"/>
        <v>6</v>
      </c>
      <c r="DR24" s="504">
        <f t="shared" si="109"/>
        <v>12</v>
      </c>
      <c r="DS24" s="504">
        <f t="shared" si="110"/>
        <v>0</v>
      </c>
      <c r="DT24" s="504">
        <f t="shared" si="111"/>
        <v>0</v>
      </c>
      <c r="DZ24" s="792">
        <f t="shared" si="137"/>
        <v>-0.10843921498449059</v>
      </c>
      <c r="EA24" s="598">
        <f t="shared" si="112"/>
        <v>1.2933741947029349</v>
      </c>
      <c r="EB24" s="598">
        <f t="shared" si="113"/>
        <v>5.4689886065378195</v>
      </c>
      <c r="EC24" s="598">
        <f t="shared" si="114"/>
        <v>8.1533121570031017</v>
      </c>
      <c r="ED24" s="598">
        <f t="shared" si="115"/>
        <v>9.6446030183727043</v>
      </c>
      <c r="EE24" s="598">
        <f t="shared" si="116"/>
        <v>12</v>
      </c>
      <c r="EF24" s="598">
        <f t="shared" si="117"/>
        <v>100</v>
      </c>
      <c r="EG24" s="793">
        <f t="shared" si="118"/>
        <v>100</v>
      </c>
      <c r="EH24" s="1055">
        <f t="shared" si="119"/>
        <v>100</v>
      </c>
      <c r="EI24" s="1055">
        <f t="shared" si="120"/>
        <v>100</v>
      </c>
      <c r="EJ24" s="1055">
        <f t="shared" si="121"/>
        <v>12</v>
      </c>
      <c r="EK24" s="1055">
        <f t="shared" si="122"/>
        <v>9.6446030183727043</v>
      </c>
      <c r="EL24" s="1055">
        <f t="shared" si="123"/>
        <v>8.1533121570031017</v>
      </c>
      <c r="EM24" s="1055">
        <f t="shared" si="124"/>
        <v>5.4689886065378195</v>
      </c>
      <c r="EN24" s="1055">
        <f t="shared" si="125"/>
        <v>1.2933741947029349</v>
      </c>
      <c r="EO24" s="1055">
        <f t="shared" si="126"/>
        <v>-0.10843921498449059</v>
      </c>
      <c r="EP24" s="1069" t="str">
        <f t="shared" si="127"/>
        <v>ML2.5</v>
      </c>
      <c r="EQ24" s="792"/>
      <c r="ER24" s="793" t="str">
        <f t="shared" si="128"/>
        <v>ML1</v>
      </c>
      <c r="ES24" s="793" t="str">
        <f t="shared" si="138"/>
        <v>ML5.5</v>
      </c>
    </row>
    <row r="25" spans="1:149" s="504" customFormat="1" ht="15.75" thickBot="1" x14ac:dyDescent="0.3">
      <c r="A25" s="377" t="s">
        <v>216</v>
      </c>
      <c r="B25" s="761" t="str">
        <f>VLOOKUP($A25,'TIS Site Config'!$A$3:$AQ$51,2,FALSE)</f>
        <v>D08</v>
      </c>
      <c r="C25" s="751" t="str">
        <f>IF(VLOOKUP($A25,'TIS Site Config'!$A$3:$AQ$51,3,FALSE)&lt;&gt;"",
              VLOOKUP($A25,'TIS Site Config'!$A$3:$AQ$51,3,FALSE),"")</f>
        <v/>
      </c>
      <c r="D25" s="933" t="str">
        <f>VLOOKUP($A25,'TIS Site Config'!$A$3:$AQ$51,4,FALSE)</f>
        <v>Lenoir Landing</v>
      </c>
      <c r="E25" s="786">
        <f t="shared" si="129"/>
        <v>6</v>
      </c>
      <c r="F25" s="866"/>
      <c r="G25" s="373">
        <v>0.3</v>
      </c>
      <c r="H25" s="373">
        <v>2</v>
      </c>
      <c r="I25" s="373">
        <v>16</v>
      </c>
      <c r="J25" s="373">
        <v>32</v>
      </c>
      <c r="K25" s="373">
        <v>38</v>
      </c>
      <c r="L25" s="373">
        <v>45</v>
      </c>
      <c r="M25" s="373"/>
      <c r="N25" s="374"/>
      <c r="O25" s="617">
        <v>149</v>
      </c>
      <c r="P25" s="618" t="s">
        <v>138</v>
      </c>
      <c r="Q25" s="772">
        <f t="shared" si="130"/>
        <v>13</v>
      </c>
      <c r="R25" s="620">
        <v>1</v>
      </c>
      <c r="S25" s="620"/>
      <c r="T25" s="371" t="s">
        <v>204</v>
      </c>
      <c r="U25" s="371" t="s">
        <v>204</v>
      </c>
      <c r="V25" s="371" t="s">
        <v>204</v>
      </c>
      <c r="W25" s="371" t="s">
        <v>204</v>
      </c>
      <c r="X25" s="371" t="s">
        <v>204</v>
      </c>
      <c r="Y25" s="371" t="s">
        <v>204</v>
      </c>
      <c r="Z25" s="371" t="s">
        <v>204</v>
      </c>
      <c r="AA25" s="371" t="s">
        <v>204</v>
      </c>
      <c r="AB25" s="371" t="s">
        <v>203</v>
      </c>
      <c r="AC25" s="371" t="s">
        <v>203</v>
      </c>
      <c r="AD25" s="371" t="s">
        <v>203</v>
      </c>
      <c r="AE25" s="371" t="s">
        <v>203</v>
      </c>
      <c r="AF25" s="371" t="s">
        <v>203</v>
      </c>
      <c r="AG25" s="371"/>
      <c r="AH25" s="371"/>
      <c r="AI25" s="371"/>
      <c r="AJ25" s="371"/>
      <c r="AK25" s="608"/>
      <c r="AL25" s="375">
        <v>4.5</v>
      </c>
      <c r="AM25" s="775">
        <f t="shared" si="131"/>
        <v>27</v>
      </c>
      <c r="AN25" s="373"/>
      <c r="AO25" s="789">
        <f t="shared" si="76"/>
        <v>2.1666666666666665</v>
      </c>
      <c r="AP25" s="844">
        <v>0.3</v>
      </c>
      <c r="AQ25" s="845">
        <v>2</v>
      </c>
      <c r="AR25" s="845">
        <v>16</v>
      </c>
      <c r="AS25" s="845">
        <v>32</v>
      </c>
      <c r="AT25" s="845">
        <v>38</v>
      </c>
      <c r="AU25" s="845">
        <v>45</v>
      </c>
      <c r="AV25" s="845"/>
      <c r="AW25" s="846"/>
      <c r="AX25" s="857">
        <v>0.3</v>
      </c>
      <c r="AY25" s="858">
        <v>2</v>
      </c>
      <c r="AZ25" s="858">
        <v>16</v>
      </c>
      <c r="BA25" s="858">
        <v>32</v>
      </c>
      <c r="BB25" s="858">
        <v>38</v>
      </c>
      <c r="BC25" s="858">
        <v>45</v>
      </c>
      <c r="BD25" s="858">
        <v>0</v>
      </c>
      <c r="BE25" s="859">
        <v>0</v>
      </c>
      <c r="BF25" s="794">
        <f t="shared" si="77"/>
        <v>-0.10749224528752087</v>
      </c>
      <c r="BG25" s="599">
        <f t="shared" si="78"/>
        <v>0.39954664757814373</v>
      </c>
      <c r="BH25" s="599">
        <f t="shared" si="79"/>
        <v>4.5751610594130279</v>
      </c>
      <c r="BI25" s="599">
        <f t="shared" si="80"/>
        <v>9.347291815795753</v>
      </c>
      <c r="BJ25" s="599">
        <f t="shared" si="81"/>
        <v>11.136840849439274</v>
      </c>
      <c r="BK25" s="599">
        <f t="shared" si="82"/>
        <v>13</v>
      </c>
      <c r="BL25" s="599">
        <f t="shared" si="83"/>
        <v>0</v>
      </c>
      <c r="BM25" s="795">
        <f t="shared" si="84"/>
        <v>0</v>
      </c>
      <c r="BN25" s="802">
        <f t="shared" si="139"/>
        <v>2</v>
      </c>
      <c r="BO25" s="371">
        <f t="shared" si="140"/>
        <v>0</v>
      </c>
      <c r="BP25" s="371">
        <f t="shared" si="140"/>
        <v>0</v>
      </c>
      <c r="BQ25" s="371">
        <f t="shared" si="140"/>
        <v>0</v>
      </c>
      <c r="BR25" s="371">
        <f t="shared" si="140"/>
        <v>1</v>
      </c>
      <c r="BS25" s="371">
        <f t="shared" si="140"/>
        <v>0</v>
      </c>
      <c r="BT25" s="371">
        <f t="shared" si="140"/>
        <v>0</v>
      </c>
      <c r="BU25" s="371">
        <f t="shared" si="140"/>
        <v>0</v>
      </c>
      <c r="BV25" s="371">
        <f t="shared" si="140"/>
        <v>0</v>
      </c>
      <c r="BW25" s="371">
        <f t="shared" si="140"/>
        <v>1</v>
      </c>
      <c r="BX25" s="371">
        <f t="shared" si="140"/>
        <v>0</v>
      </c>
      <c r="BY25" s="371">
        <f t="shared" si="140"/>
        <v>1</v>
      </c>
      <c r="BZ25" s="371">
        <f t="shared" si="140"/>
        <v>0</v>
      </c>
      <c r="CA25" s="371">
        <f t="shared" si="140"/>
        <v>1</v>
      </c>
      <c r="CB25" s="371" t="str">
        <f t="shared" si="140"/>
        <v/>
      </c>
      <c r="CC25" s="371" t="str">
        <f t="shared" si="143"/>
        <v/>
      </c>
      <c r="CD25" s="371" t="str">
        <f t="shared" si="143"/>
        <v/>
      </c>
      <c r="CE25" s="371" t="str">
        <f t="shared" si="141"/>
        <v/>
      </c>
      <c r="CF25" s="799" t="str">
        <f t="shared" si="142"/>
        <v/>
      </c>
      <c r="CG25" s="807" t="str">
        <f t="shared" si="88"/>
        <v>B, p-thru above</v>
      </c>
      <c r="CH25" s="595" t="str">
        <f t="shared" si="89"/>
        <v>p-thru</v>
      </c>
      <c r="CI25" s="595" t="str">
        <f t="shared" si="90"/>
        <v>p-thru</v>
      </c>
      <c r="CJ25" s="595" t="str">
        <f t="shared" si="91"/>
        <v>ML</v>
      </c>
      <c r="CK25" s="595" t="str">
        <f t="shared" si="92"/>
        <v>p-thru</v>
      </c>
      <c r="CL25" s="595" t="str">
        <f t="shared" si="93"/>
        <v>p-thru</v>
      </c>
      <c r="CM25" s="595" t="str">
        <f t="shared" si="94"/>
        <v>p-thru</v>
      </c>
      <c r="CN25" s="595" t="str">
        <f t="shared" si="95"/>
        <v>p-thru</v>
      </c>
      <c r="CO25" s="595" t="str">
        <f t="shared" si="96"/>
        <v>ML</v>
      </c>
      <c r="CP25" s="595" t="str">
        <f t="shared" si="97"/>
        <v>p-thru</v>
      </c>
      <c r="CQ25" s="595" t="str">
        <f t="shared" si="98"/>
        <v>ML</v>
      </c>
      <c r="CR25" s="595" t="str">
        <f t="shared" si="99"/>
        <v>p-thru</v>
      </c>
      <c r="CS25" s="595" t="str">
        <f t="shared" si="100"/>
        <v>TOP</v>
      </c>
      <c r="CT25" s="595" t="str">
        <f t="shared" si="101"/>
        <v/>
      </c>
      <c r="CU25" s="595" t="str">
        <f t="shared" si="102"/>
        <v/>
      </c>
      <c r="CV25" s="595" t="str">
        <f t="shared" si="103"/>
        <v/>
      </c>
      <c r="CW25" s="595" t="str">
        <f t="shared" si="104"/>
        <v/>
      </c>
      <c r="CX25" s="808" t="str">
        <f t="shared" si="105"/>
        <v/>
      </c>
      <c r="CY25" s="816">
        <f>IF(VLOOKUP(A25,'TIS Site Config'!$A$4:$AQ$51,6,FALSE)="Non-heated",COUNTIF($CG25:$CX25,$DT$3),0)</f>
        <v>1</v>
      </c>
      <c r="CZ25" s="596">
        <f>IF(OR(VLOOKUP(A25,'TIS Site Config'!$A$4:$AQ$51,6,FALSE)="Heated",VLOOKUP(A25,'TIS Site Config'!$A$4:$AQ$51,6,FALSE)="Extreme Heated"),COUNTIF($CG25:$CX25,$DT$3),0)</f>
        <v>0</v>
      </c>
      <c r="DA25" s="596">
        <f>IF(VLOOKUP(A25,'TIS Site Config'!$A$4:$AQ$51,6,FALSE)="Non-heated",COUNTIF($CG25:$CX25,$DU$3),0)</f>
        <v>0</v>
      </c>
      <c r="DB25" s="596">
        <f>IF(OR(VLOOKUP(A25,'TIS Site Config'!$A$4:$AQ$51,6,FALSE)="Heated",VLOOKUP(A25,'TIS Site Config'!$A$4:$AQ$51,6,FALSE)="Extreme heated"),COUNTIF($CG25:$CX25,$DU$3),0)</f>
        <v>0</v>
      </c>
      <c r="DC25" s="596">
        <f>IF(VLOOKUP(A25,'TIS Site Config'!$A$4:$AQ$51,6,FALSE)="Non-heated",COUNTIF($CG25:$CX25,$DW$3),0)</f>
        <v>3</v>
      </c>
      <c r="DD25" s="596">
        <f>IF(OR(VLOOKUP(A25,'TIS Site Config'!$A$4:$AQ$51,6,FALSE)="Heated",VLOOKUP(A25,'TIS Site Config'!$A$4:$AQ$51,6,FALSE)="Extreme heated"),COUNTIF($CG25:$CX25,$DW$3),0)</f>
        <v>0</v>
      </c>
      <c r="DE25" s="596">
        <f t="shared" si="132"/>
        <v>8</v>
      </c>
      <c r="DF25" s="596">
        <f>IF(VLOOKUP(A25,'TIS Site Config'!$A$4:$AQ$51,6,FALSE)="Non-heated",COUNTIF($CG25:$CX25,$DX$3),0)</f>
        <v>1</v>
      </c>
      <c r="DG25" s="596">
        <f>IF(OR(VLOOKUP(A25,'TIS Site Config'!$A$4:$AQ$51,6,FALSE)="Heated",VLOOKUP(A25,'TIS Site Config'!$A$4:$AQ$51,6,FALSE)="Extreme heated"),COUNTIF($CG25:$CX25,$DX$3),0)</f>
        <v>0</v>
      </c>
      <c r="DH25" s="817"/>
      <c r="DI25" s="791">
        <f t="shared" si="133"/>
        <v>3</v>
      </c>
      <c r="DJ25" s="365">
        <f t="shared" si="134"/>
        <v>0</v>
      </c>
      <c r="DK25" s="365">
        <f t="shared" si="135"/>
        <v>2</v>
      </c>
      <c r="DL25" s="376">
        <v>1</v>
      </c>
      <c r="DM25" s="609">
        <f t="shared" si="106"/>
        <v>6</v>
      </c>
      <c r="DN25" s="883">
        <f t="shared" si="136"/>
        <v>0</v>
      </c>
      <c r="DO25" s="593">
        <f t="shared" si="107"/>
        <v>1</v>
      </c>
      <c r="DP25" s="593">
        <f t="shared" si="108"/>
        <v>5</v>
      </c>
      <c r="DR25" s="504">
        <f t="shared" si="109"/>
        <v>5</v>
      </c>
      <c r="DS25" s="504">
        <f t="shared" si="110"/>
        <v>8</v>
      </c>
      <c r="DT25" s="504">
        <f t="shared" si="111"/>
        <v>0</v>
      </c>
      <c r="DZ25" s="794">
        <f t="shared" si="137"/>
        <v>-0.10749224528752087</v>
      </c>
      <c r="EA25" s="599">
        <f t="shared" si="112"/>
        <v>0.39954664757814373</v>
      </c>
      <c r="EB25" s="599">
        <f t="shared" si="113"/>
        <v>4.5751610594130279</v>
      </c>
      <c r="EC25" s="599">
        <f t="shared" si="114"/>
        <v>9.347291815795753</v>
      </c>
      <c r="ED25" s="599">
        <f t="shared" si="115"/>
        <v>11.136840849439274</v>
      </c>
      <c r="EE25" s="599">
        <f t="shared" si="116"/>
        <v>13</v>
      </c>
      <c r="EF25" s="599">
        <f t="shared" si="117"/>
        <v>100</v>
      </c>
      <c r="EG25" s="795">
        <f t="shared" si="118"/>
        <v>100</v>
      </c>
      <c r="EH25" s="1054">
        <f t="shared" si="119"/>
        <v>100</v>
      </c>
      <c r="EI25" s="1054">
        <f t="shared" si="120"/>
        <v>100</v>
      </c>
      <c r="EJ25" s="1054">
        <f t="shared" si="121"/>
        <v>13</v>
      </c>
      <c r="EK25" s="1054">
        <f t="shared" si="122"/>
        <v>11.136840849439274</v>
      </c>
      <c r="EL25" s="1054">
        <f t="shared" si="123"/>
        <v>9.347291815795753</v>
      </c>
      <c r="EM25" s="1054">
        <f t="shared" si="124"/>
        <v>4.5751610594130279</v>
      </c>
      <c r="EN25" s="1054">
        <f t="shared" si="125"/>
        <v>0.39954664757814373</v>
      </c>
      <c r="EO25" s="1054">
        <f t="shared" si="126"/>
        <v>-0.10749224528752087</v>
      </c>
      <c r="EP25" s="1070" t="str">
        <f t="shared" si="127"/>
        <v>ML2.5</v>
      </c>
      <c r="EQ25" s="794"/>
      <c r="ER25" s="795" t="str">
        <f t="shared" si="128"/>
        <v>ML1</v>
      </c>
      <c r="ES25" s="795" t="str">
        <f t="shared" si="138"/>
        <v>ML5.5</v>
      </c>
    </row>
    <row r="26" spans="1:149" s="504" customFormat="1" x14ac:dyDescent="0.25">
      <c r="A26" s="584" t="s">
        <v>234</v>
      </c>
      <c r="B26" s="930" t="str">
        <f>VLOOKUP($A26,'TIS Site Config'!$A$3:$AQ$51,2,FALSE)</f>
        <v>D09</v>
      </c>
      <c r="C26" s="934" t="str">
        <f>IF(VLOOKUP($A26,'TIS Site Config'!$A$3:$AQ$51,3,FALSE)&lt;&gt;"",
              VLOOKUP($A26,'TIS Site Config'!$A$3:$AQ$51,3,FALSE),"")</f>
        <v>C-FY15-2</v>
      </c>
      <c r="D26" s="931" t="str">
        <f>VLOOKUP($A26,'TIS Site Config'!$A$3:$AQ$51,4,FALSE)</f>
        <v>Woodworth</v>
      </c>
      <c r="E26" s="784">
        <f t="shared" si="129"/>
        <v>4</v>
      </c>
      <c r="F26" s="864"/>
      <c r="G26" s="597">
        <v>0.2</v>
      </c>
      <c r="H26" s="597">
        <v>1</v>
      </c>
      <c r="I26" s="597">
        <v>3.5</v>
      </c>
      <c r="J26" s="597">
        <v>6</v>
      </c>
      <c r="K26" s="597"/>
      <c r="L26" s="597"/>
      <c r="M26" s="597"/>
      <c r="N26" s="826"/>
      <c r="O26" s="613">
        <v>26</v>
      </c>
      <c r="P26" s="614" t="s">
        <v>139</v>
      </c>
      <c r="Q26" s="770">
        <f t="shared" si="130"/>
        <v>2</v>
      </c>
      <c r="R26" s="611">
        <v>1</v>
      </c>
      <c r="S26" s="611"/>
      <c r="T26" s="368" t="s">
        <v>203</v>
      </c>
      <c r="U26" s="368" t="s">
        <v>203</v>
      </c>
      <c r="V26" s="368"/>
      <c r="W26" s="368"/>
      <c r="X26" s="368"/>
      <c r="Y26" s="368"/>
      <c r="Z26" s="368"/>
      <c r="AA26" s="368"/>
      <c r="AB26" s="368"/>
      <c r="AC26" s="368"/>
      <c r="AD26" s="368"/>
      <c r="AE26" s="368"/>
      <c r="AF26" s="368"/>
      <c r="AG26" s="368"/>
      <c r="AH26" s="368"/>
      <c r="AI26" s="368"/>
      <c r="AJ26" s="368"/>
      <c r="AK26" s="602"/>
      <c r="AL26" s="819">
        <v>9</v>
      </c>
      <c r="AM26" s="773">
        <f t="shared" si="131"/>
        <v>14</v>
      </c>
      <c r="AN26" s="597">
        <v>15</v>
      </c>
      <c r="AO26" s="787">
        <f t="shared" si="76"/>
        <v>1.1666666666666667</v>
      </c>
      <c r="AP26" s="838">
        <v>0.2</v>
      </c>
      <c r="AQ26" s="839">
        <v>1</v>
      </c>
      <c r="AR26" s="839">
        <v>3.5</v>
      </c>
      <c r="AS26" s="839">
        <v>6</v>
      </c>
      <c r="AT26" s="839"/>
      <c r="AU26" s="839"/>
      <c r="AV26" s="839"/>
      <c r="AW26" s="840"/>
      <c r="AX26" s="860">
        <v>0.2</v>
      </c>
      <c r="AY26" s="852">
        <v>1</v>
      </c>
      <c r="AZ26" s="852">
        <v>3.5</v>
      </c>
      <c r="BA26" s="852">
        <v>6</v>
      </c>
      <c r="BB26" s="852">
        <v>0</v>
      </c>
      <c r="BC26" s="852">
        <v>0</v>
      </c>
      <c r="BD26" s="852">
        <v>0</v>
      </c>
      <c r="BE26" s="853">
        <v>0</v>
      </c>
      <c r="BF26" s="835">
        <f t="shared" si="77"/>
        <v>-4.6408971605822004E-2</v>
      </c>
      <c r="BG26" s="836">
        <f t="shared" si="78"/>
        <v>0.19219756621331421</v>
      </c>
      <c r="BH26" s="836">
        <f t="shared" si="79"/>
        <v>0.93784299689811512</v>
      </c>
      <c r="BI26" s="836">
        <f t="shared" si="80"/>
        <v>2</v>
      </c>
      <c r="BJ26" s="836">
        <f t="shared" si="81"/>
        <v>0</v>
      </c>
      <c r="BK26" s="836">
        <f t="shared" si="82"/>
        <v>0</v>
      </c>
      <c r="BL26" s="836">
        <f t="shared" si="83"/>
        <v>0</v>
      </c>
      <c r="BM26" s="837">
        <f t="shared" si="84"/>
        <v>0</v>
      </c>
      <c r="BN26" s="800">
        <f t="shared" si="139"/>
        <v>3</v>
      </c>
      <c r="BO26" s="368">
        <f t="shared" si="140"/>
        <v>0</v>
      </c>
      <c r="BP26" s="368">
        <f t="shared" si="140"/>
        <v>1</v>
      </c>
      <c r="BQ26" s="368" t="str">
        <f t="shared" si="140"/>
        <v/>
      </c>
      <c r="BR26" s="368" t="str">
        <f t="shared" si="140"/>
        <v/>
      </c>
      <c r="BS26" s="368" t="str">
        <f t="shared" si="140"/>
        <v/>
      </c>
      <c r="BT26" s="368" t="str">
        <f t="shared" si="140"/>
        <v/>
      </c>
      <c r="BU26" s="368" t="str">
        <f t="shared" si="140"/>
        <v/>
      </c>
      <c r="BV26" s="368" t="str">
        <f t="shared" si="140"/>
        <v/>
      </c>
      <c r="BW26" s="368" t="str">
        <f t="shared" si="140"/>
        <v/>
      </c>
      <c r="BX26" s="368" t="str">
        <f t="shared" si="140"/>
        <v/>
      </c>
      <c r="BY26" s="368" t="str">
        <f t="shared" si="140"/>
        <v/>
      </c>
      <c r="BZ26" s="368" t="str">
        <f t="shared" si="140"/>
        <v/>
      </c>
      <c r="CA26" s="368" t="str">
        <f t="shared" si="140"/>
        <v/>
      </c>
      <c r="CB26" s="368" t="str">
        <f t="shared" si="140"/>
        <v/>
      </c>
      <c r="CC26" s="368" t="str">
        <f t="shared" si="143"/>
        <v/>
      </c>
      <c r="CD26" s="368" t="str">
        <f t="shared" si="143"/>
        <v/>
      </c>
      <c r="CE26" s="368" t="str">
        <f t="shared" si="141"/>
        <v/>
      </c>
      <c r="CF26" s="797" t="str">
        <f t="shared" si="142"/>
        <v/>
      </c>
      <c r="CG26" s="803" t="str">
        <f t="shared" si="88"/>
        <v>B, ML above</v>
      </c>
      <c r="CH26" s="591" t="str">
        <f t="shared" si="89"/>
        <v>TOP</v>
      </c>
      <c r="CI26" s="591" t="str">
        <f t="shared" si="90"/>
        <v/>
      </c>
      <c r="CJ26" s="591" t="str">
        <f t="shared" si="91"/>
        <v/>
      </c>
      <c r="CK26" s="591" t="str">
        <f t="shared" si="92"/>
        <v/>
      </c>
      <c r="CL26" s="591" t="str">
        <f t="shared" si="93"/>
        <v/>
      </c>
      <c r="CM26" s="591" t="str">
        <f t="shared" si="94"/>
        <v/>
      </c>
      <c r="CN26" s="591" t="str">
        <f t="shared" si="95"/>
        <v/>
      </c>
      <c r="CO26" s="591" t="str">
        <f t="shared" si="96"/>
        <v/>
      </c>
      <c r="CP26" s="591" t="str">
        <f t="shared" si="97"/>
        <v/>
      </c>
      <c r="CQ26" s="591" t="str">
        <f t="shared" si="98"/>
        <v/>
      </c>
      <c r="CR26" s="591" t="str">
        <f t="shared" si="99"/>
        <v/>
      </c>
      <c r="CS26" s="591" t="str">
        <f t="shared" si="100"/>
        <v/>
      </c>
      <c r="CT26" s="591" t="str">
        <f t="shared" si="101"/>
        <v/>
      </c>
      <c r="CU26" s="591" t="str">
        <f t="shared" si="102"/>
        <v/>
      </c>
      <c r="CV26" s="591" t="str">
        <f t="shared" si="103"/>
        <v/>
      </c>
      <c r="CW26" s="591" t="str">
        <f t="shared" si="104"/>
        <v/>
      </c>
      <c r="CX26" s="804" t="str">
        <f t="shared" si="105"/>
        <v/>
      </c>
      <c r="CY26" s="813">
        <f>IF(VLOOKUP(A26,'TIS Site Config'!$A$4:$AQ$51,6,FALSE)="Non-heated",COUNTIF($CG26:$CX26,$DT$3),0)</f>
        <v>0</v>
      </c>
      <c r="CZ26" s="592">
        <f>IF(OR(VLOOKUP(A26,'TIS Site Config'!$A$4:$AQ$51,6,FALSE)="Heated",VLOOKUP(A26,'TIS Site Config'!$A$4:$AQ$51,6,FALSE)="Extreme Heated"),COUNTIF($CG26:$CX26,$DT$3),0)</f>
        <v>0</v>
      </c>
      <c r="DA26" s="592">
        <f>IF(VLOOKUP(A26,'TIS Site Config'!$A$4:$AQ$51,6,FALSE)="Non-heated",COUNTIF($CG26:$CX26,$DU$3),0)</f>
        <v>0</v>
      </c>
      <c r="DB26" s="592">
        <f>IF(OR(VLOOKUP(A26,'TIS Site Config'!$A$4:$AQ$51,6,FALSE)="Heated",VLOOKUP(A26,'TIS Site Config'!$A$4:$AQ$51,6,FALSE)="Extreme heated"),COUNTIF($CG26:$CX26,$DU$3),0)</f>
        <v>1</v>
      </c>
      <c r="DC26" s="592">
        <f>IF(VLOOKUP(A26,'TIS Site Config'!$A$4:$AQ$51,6,FALSE)="Non-heated",COUNTIF($CG26:$CX26,$DW$3),0)</f>
        <v>0</v>
      </c>
      <c r="DD26" s="592">
        <f>IF(OR(VLOOKUP(A26,'TIS Site Config'!$A$4:$AQ$51,6,FALSE)="Heated",VLOOKUP(A26,'TIS Site Config'!$A$4:$AQ$51,6,FALSE)="Extreme heated"),COUNTIF($CG26:$CX26,$DW$3),0)</f>
        <v>0</v>
      </c>
      <c r="DE26" s="592">
        <f t="shared" si="132"/>
        <v>0</v>
      </c>
      <c r="DF26" s="592">
        <f>IF(VLOOKUP(A26,'TIS Site Config'!$A$4:$AQ$51,6,FALSE)="Non-heated",COUNTIF($CG26:$CX26,$DX$3),0)</f>
        <v>0</v>
      </c>
      <c r="DG26" s="592">
        <f>IF(OR(VLOOKUP(A26,'TIS Site Config'!$A$4:$AQ$51,6,FALSE)="Heated",VLOOKUP(A26,'TIS Site Config'!$A$4:$AQ$51,6,FALSE)="Extreme heated"),COUNTIF($CG26:$CX26,$DX$3),0)</f>
        <v>1</v>
      </c>
      <c r="DH26" s="814"/>
      <c r="DI26" s="810">
        <f t="shared" si="133"/>
        <v>0</v>
      </c>
      <c r="DJ26" s="355">
        <f t="shared" si="134"/>
        <v>0</v>
      </c>
      <c r="DK26" s="355">
        <f t="shared" si="135"/>
        <v>3</v>
      </c>
      <c r="DL26" s="603">
        <v>1</v>
      </c>
      <c r="DM26" s="604">
        <f t="shared" si="106"/>
        <v>4</v>
      </c>
      <c r="DN26" s="883">
        <f t="shared" si="136"/>
        <v>0</v>
      </c>
      <c r="DO26" s="593">
        <f t="shared" si="107"/>
        <v>1</v>
      </c>
      <c r="DP26" s="593">
        <f t="shared" si="108"/>
        <v>1</v>
      </c>
      <c r="DR26" s="504">
        <f t="shared" si="109"/>
        <v>2</v>
      </c>
      <c r="DS26" s="504">
        <f t="shared" si="110"/>
        <v>0</v>
      </c>
      <c r="DT26" s="504">
        <f t="shared" si="111"/>
        <v>0</v>
      </c>
      <c r="DZ26" s="835">
        <f t="shared" si="137"/>
        <v>-4.6408971605822004E-2</v>
      </c>
      <c r="EA26" s="836">
        <f t="shared" si="112"/>
        <v>0.19219756621331421</v>
      </c>
      <c r="EB26" s="836">
        <f t="shared" si="113"/>
        <v>0.93784299689811512</v>
      </c>
      <c r="EC26" s="836">
        <f t="shared" si="114"/>
        <v>2</v>
      </c>
      <c r="ED26" s="836">
        <f t="shared" si="115"/>
        <v>100</v>
      </c>
      <c r="EE26" s="836">
        <f t="shared" si="116"/>
        <v>100</v>
      </c>
      <c r="EF26" s="836">
        <f t="shared" si="117"/>
        <v>100</v>
      </c>
      <c r="EG26" s="837">
        <f t="shared" si="118"/>
        <v>100</v>
      </c>
      <c r="EH26" s="1053">
        <f t="shared" si="119"/>
        <v>100</v>
      </c>
      <c r="EI26" s="1053">
        <f t="shared" si="120"/>
        <v>100</v>
      </c>
      <c r="EJ26" s="1053">
        <f t="shared" si="121"/>
        <v>100</v>
      </c>
      <c r="EK26" s="1053">
        <f t="shared" si="122"/>
        <v>100</v>
      </c>
      <c r="EL26" s="1053">
        <f t="shared" si="123"/>
        <v>2</v>
      </c>
      <c r="EM26" s="1053">
        <f t="shared" si="124"/>
        <v>0.93784299689811512</v>
      </c>
      <c r="EN26" s="1053">
        <f t="shared" si="125"/>
        <v>0.19219756621331421</v>
      </c>
      <c r="EO26" s="1053">
        <f t="shared" si="126"/>
        <v>-4.6408971605822004E-2</v>
      </c>
      <c r="EP26" s="1065" t="str">
        <f t="shared" si="127"/>
        <v>ML3.5</v>
      </c>
      <c r="EQ26" s="835"/>
      <c r="ER26" s="837" t="str">
        <f t="shared" si="128"/>
        <v>ML1</v>
      </c>
      <c r="ES26" s="837" t="str">
        <f t="shared" si="138"/>
        <v>ML3.5</v>
      </c>
    </row>
    <row r="27" spans="1:149" s="504" customFormat="1" x14ac:dyDescent="0.25">
      <c r="A27" s="514" t="s">
        <v>217</v>
      </c>
      <c r="B27" s="757" t="str">
        <f>VLOOKUP($A27,'TIS Site Config'!$A$3:$AQ$51,2,FALSE)</f>
        <v>D09</v>
      </c>
      <c r="C27" s="753" t="str">
        <f>IF(VLOOKUP($A27,'TIS Site Config'!$A$3:$AQ$51,3,FALSE)&lt;&gt;"",
              VLOOKUP($A27,'TIS Site Config'!$A$3:$AQ$51,3,FALSE),"")</f>
        <v>C-FY15-2</v>
      </c>
      <c r="D27" s="932" t="str">
        <f>VLOOKUP($A27,'TIS Site Config'!$A$3:$AQ$51,4,FALSE)</f>
        <v>Dakota Coteau Field School</v>
      </c>
      <c r="E27" s="784">
        <f t="shared" si="129"/>
        <v>4</v>
      </c>
      <c r="F27" s="864"/>
      <c r="G27" s="506">
        <v>0.3</v>
      </c>
      <c r="H27" s="506">
        <v>1.5</v>
      </c>
      <c r="I27" s="506">
        <v>4</v>
      </c>
      <c r="J27" s="506">
        <v>6</v>
      </c>
      <c r="K27" s="506"/>
      <c r="L27" s="506"/>
      <c r="M27" s="506"/>
      <c r="N27" s="507"/>
      <c r="O27" s="615">
        <v>26</v>
      </c>
      <c r="P27" s="616" t="s">
        <v>139</v>
      </c>
      <c r="Q27" s="770">
        <f t="shared" si="130"/>
        <v>2</v>
      </c>
      <c r="R27" s="611">
        <v>1</v>
      </c>
      <c r="S27" s="611"/>
      <c r="T27" s="366" t="s">
        <v>203</v>
      </c>
      <c r="U27" s="366" t="s">
        <v>203</v>
      </c>
      <c r="V27" s="366"/>
      <c r="W27" s="366"/>
      <c r="X27" s="366"/>
      <c r="Y27" s="366"/>
      <c r="Z27" s="366"/>
      <c r="AA27" s="366"/>
      <c r="AB27" s="366"/>
      <c r="AC27" s="366"/>
      <c r="AD27" s="366"/>
      <c r="AE27" s="366"/>
      <c r="AF27" s="366"/>
      <c r="AG27" s="366"/>
      <c r="AH27" s="366"/>
      <c r="AI27" s="366"/>
      <c r="AJ27" s="366"/>
      <c r="AK27" s="605"/>
      <c r="AL27" s="508">
        <v>9</v>
      </c>
      <c r="AM27" s="773">
        <f t="shared" si="131"/>
        <v>14</v>
      </c>
      <c r="AN27" s="506">
        <v>16</v>
      </c>
      <c r="AO27" s="787">
        <f t="shared" si="76"/>
        <v>1.25</v>
      </c>
      <c r="AP27" s="841">
        <v>0.3</v>
      </c>
      <c r="AQ27" s="842">
        <v>1.5</v>
      </c>
      <c r="AR27" s="842">
        <v>4</v>
      </c>
      <c r="AS27" s="842">
        <v>6</v>
      </c>
      <c r="AT27" s="842"/>
      <c r="AU27" s="842"/>
      <c r="AV27" s="842"/>
      <c r="AW27" s="843"/>
      <c r="AX27" s="854">
        <v>0.3</v>
      </c>
      <c r="AY27" s="855">
        <v>1.5</v>
      </c>
      <c r="AZ27" s="855">
        <v>4</v>
      </c>
      <c r="BA27" s="855">
        <v>6</v>
      </c>
      <c r="BB27" s="855">
        <v>0</v>
      </c>
      <c r="BC27" s="855">
        <v>0</v>
      </c>
      <c r="BD27" s="855">
        <v>0</v>
      </c>
      <c r="BE27" s="856">
        <v>0</v>
      </c>
      <c r="BF27" s="792">
        <f t="shared" si="77"/>
        <v>-2.4158911954187543E-2</v>
      </c>
      <c r="BG27" s="598">
        <f t="shared" si="78"/>
        <v>0.33375089477451686</v>
      </c>
      <c r="BH27" s="598">
        <f t="shared" si="79"/>
        <v>1.0793963254593175</v>
      </c>
      <c r="BI27" s="598">
        <f t="shared" si="80"/>
        <v>2</v>
      </c>
      <c r="BJ27" s="598">
        <f t="shared" si="81"/>
        <v>0</v>
      </c>
      <c r="BK27" s="598">
        <f t="shared" si="82"/>
        <v>0</v>
      </c>
      <c r="BL27" s="598">
        <f t="shared" si="83"/>
        <v>0</v>
      </c>
      <c r="BM27" s="793">
        <f t="shared" si="84"/>
        <v>0</v>
      </c>
      <c r="BN27" s="801">
        <f t="shared" si="139"/>
        <v>2</v>
      </c>
      <c r="BO27" s="366">
        <f t="shared" si="140"/>
        <v>1</v>
      </c>
      <c r="BP27" s="366">
        <f t="shared" si="140"/>
        <v>1</v>
      </c>
      <c r="BQ27" s="366" t="str">
        <f t="shared" si="140"/>
        <v/>
      </c>
      <c r="BR27" s="366" t="str">
        <f t="shared" si="140"/>
        <v/>
      </c>
      <c r="BS27" s="366" t="str">
        <f t="shared" si="140"/>
        <v/>
      </c>
      <c r="BT27" s="366" t="str">
        <f t="shared" si="140"/>
        <v/>
      </c>
      <c r="BU27" s="366" t="str">
        <f t="shared" si="140"/>
        <v/>
      </c>
      <c r="BV27" s="366" t="str">
        <f t="shared" si="140"/>
        <v/>
      </c>
      <c r="BW27" s="366" t="str">
        <f t="shared" si="140"/>
        <v/>
      </c>
      <c r="BX27" s="366" t="str">
        <f t="shared" si="140"/>
        <v/>
      </c>
      <c r="BY27" s="366" t="str">
        <f t="shared" si="140"/>
        <v/>
      </c>
      <c r="BZ27" s="366" t="str">
        <f t="shared" si="140"/>
        <v/>
      </c>
      <c r="CA27" s="366" t="str">
        <f t="shared" si="140"/>
        <v/>
      </c>
      <c r="CB27" s="366" t="str">
        <f t="shared" si="140"/>
        <v/>
      </c>
      <c r="CC27" s="366" t="str">
        <f t="shared" si="143"/>
        <v/>
      </c>
      <c r="CD27" s="366" t="str">
        <f t="shared" si="143"/>
        <v/>
      </c>
      <c r="CE27" s="366" t="str">
        <f t="shared" si="141"/>
        <v/>
      </c>
      <c r="CF27" s="798" t="str">
        <f t="shared" si="142"/>
        <v/>
      </c>
      <c r="CG27" s="805" t="str">
        <f t="shared" si="88"/>
        <v>B, ML above</v>
      </c>
      <c r="CH27" s="594" t="str">
        <f t="shared" si="89"/>
        <v>TOP</v>
      </c>
      <c r="CI27" s="594" t="str">
        <f t="shared" si="90"/>
        <v/>
      </c>
      <c r="CJ27" s="594" t="str">
        <f t="shared" si="91"/>
        <v/>
      </c>
      <c r="CK27" s="594" t="str">
        <f t="shared" si="92"/>
        <v/>
      </c>
      <c r="CL27" s="594" t="str">
        <f t="shared" si="93"/>
        <v/>
      </c>
      <c r="CM27" s="594" t="str">
        <f t="shared" si="94"/>
        <v/>
      </c>
      <c r="CN27" s="594" t="str">
        <f t="shared" si="95"/>
        <v/>
      </c>
      <c r="CO27" s="594" t="str">
        <f t="shared" si="96"/>
        <v/>
      </c>
      <c r="CP27" s="594" t="str">
        <f t="shared" si="97"/>
        <v/>
      </c>
      <c r="CQ27" s="594" t="str">
        <f t="shared" si="98"/>
        <v/>
      </c>
      <c r="CR27" s="594" t="str">
        <f t="shared" si="99"/>
        <v/>
      </c>
      <c r="CS27" s="594" t="str">
        <f t="shared" si="100"/>
        <v/>
      </c>
      <c r="CT27" s="594" t="str">
        <f t="shared" si="101"/>
        <v/>
      </c>
      <c r="CU27" s="594" t="str">
        <f t="shared" si="102"/>
        <v/>
      </c>
      <c r="CV27" s="594" t="str">
        <f t="shared" si="103"/>
        <v/>
      </c>
      <c r="CW27" s="594" t="str">
        <f t="shared" si="104"/>
        <v/>
      </c>
      <c r="CX27" s="806" t="str">
        <f t="shared" si="105"/>
        <v/>
      </c>
      <c r="CY27" s="815">
        <f>IF(VLOOKUP(A27,'TIS Site Config'!$A$4:$AQ$51,6,FALSE)="Non-heated",COUNTIF($CG27:$CX27,$DT$3),0)</f>
        <v>0</v>
      </c>
      <c r="CZ27" s="738">
        <f>IF(OR(VLOOKUP(A27,'TIS Site Config'!$A$4:$AQ$51,6,FALSE)="Heated",VLOOKUP(A27,'TIS Site Config'!$A$4:$AQ$51,6,FALSE)="Extreme Heated"),COUNTIF($CG27:$CX27,$DT$3),0)</f>
        <v>0</v>
      </c>
      <c r="DA27" s="738">
        <f>IF(VLOOKUP(A27,'TIS Site Config'!$A$4:$AQ$51,6,FALSE)="Non-heated",COUNTIF($CG27:$CX27,$DU$3),0)</f>
        <v>0</v>
      </c>
      <c r="DB27" s="738">
        <f>IF(OR(VLOOKUP(A27,'TIS Site Config'!$A$4:$AQ$51,6,FALSE)="Heated",VLOOKUP(A27,'TIS Site Config'!$A$4:$AQ$51,6,FALSE)="Extreme heated"),COUNTIF($CG27:$CX27,$DU$3),0)</f>
        <v>1</v>
      </c>
      <c r="DC27" s="738">
        <f>IF(VLOOKUP(A27,'TIS Site Config'!$A$4:$AQ$51,6,FALSE)="Non-heated",COUNTIF($CG27:$CX27,$DW$3),0)</f>
        <v>0</v>
      </c>
      <c r="DD27" s="738">
        <f>IF(OR(VLOOKUP(A27,'TIS Site Config'!$A$4:$AQ$51,6,FALSE)="Heated",VLOOKUP(A27,'TIS Site Config'!$A$4:$AQ$51,6,FALSE)="Extreme heated"),COUNTIF($CG27:$CX27,$DW$3),0)</f>
        <v>0</v>
      </c>
      <c r="DE27" s="738">
        <f t="shared" si="132"/>
        <v>0</v>
      </c>
      <c r="DF27" s="738">
        <f>IF(VLOOKUP(A27,'TIS Site Config'!$A$4:$AQ$51,6,FALSE)="Non-heated",COUNTIF($CG27:$CX27,$DX$3),0)</f>
        <v>0</v>
      </c>
      <c r="DG27" s="738">
        <f>IF(OR(VLOOKUP(A27,'TIS Site Config'!$A$4:$AQ$51,6,FALSE)="Heated",VLOOKUP(A27,'TIS Site Config'!$A$4:$AQ$51,6,FALSE)="Extreme heated"),COUNTIF($CG27:$CX27,$DX$3),0)</f>
        <v>1</v>
      </c>
      <c r="DH27" s="812"/>
      <c r="DI27" s="790">
        <f t="shared" si="133"/>
        <v>0</v>
      </c>
      <c r="DJ27" s="357">
        <f t="shared" si="134"/>
        <v>0</v>
      </c>
      <c r="DK27" s="357">
        <f t="shared" si="135"/>
        <v>3</v>
      </c>
      <c r="DL27" s="606">
        <v>1</v>
      </c>
      <c r="DM27" s="607">
        <f t="shared" si="106"/>
        <v>4</v>
      </c>
      <c r="DN27" s="883">
        <f t="shared" si="136"/>
        <v>0</v>
      </c>
      <c r="DO27" s="593">
        <f t="shared" si="107"/>
        <v>1</v>
      </c>
      <c r="DP27" s="593">
        <f t="shared" si="108"/>
        <v>2</v>
      </c>
      <c r="DR27" s="504">
        <f t="shared" si="109"/>
        <v>2</v>
      </c>
      <c r="DS27" s="504">
        <f t="shared" si="110"/>
        <v>0</v>
      </c>
      <c r="DT27" s="504">
        <f t="shared" si="111"/>
        <v>0</v>
      </c>
      <c r="DZ27" s="792">
        <f t="shared" si="137"/>
        <v>-2.4158911954187543E-2</v>
      </c>
      <c r="EA27" s="598">
        <f t="shared" si="112"/>
        <v>0.33375089477451686</v>
      </c>
      <c r="EB27" s="598">
        <f t="shared" si="113"/>
        <v>1.0793963254593175</v>
      </c>
      <c r="EC27" s="598">
        <f t="shared" si="114"/>
        <v>2</v>
      </c>
      <c r="ED27" s="598">
        <f t="shared" si="115"/>
        <v>100</v>
      </c>
      <c r="EE27" s="598">
        <f t="shared" si="116"/>
        <v>100</v>
      </c>
      <c r="EF27" s="598">
        <f t="shared" si="117"/>
        <v>100</v>
      </c>
      <c r="EG27" s="793">
        <f t="shared" si="118"/>
        <v>100</v>
      </c>
      <c r="EH27" s="1055">
        <f t="shared" si="119"/>
        <v>100</v>
      </c>
      <c r="EI27" s="1055">
        <f t="shared" si="120"/>
        <v>100</v>
      </c>
      <c r="EJ27" s="1055">
        <f t="shared" si="121"/>
        <v>100</v>
      </c>
      <c r="EK27" s="1055">
        <f t="shared" si="122"/>
        <v>100</v>
      </c>
      <c r="EL27" s="1055">
        <f t="shared" si="123"/>
        <v>2</v>
      </c>
      <c r="EM27" s="1055">
        <f t="shared" si="124"/>
        <v>1.0793963254593175</v>
      </c>
      <c r="EN27" s="1055">
        <f t="shared" si="125"/>
        <v>0.33375089477451686</v>
      </c>
      <c r="EO27" s="1055">
        <f t="shared" si="126"/>
        <v>-2.4158911954187543E-2</v>
      </c>
      <c r="EP27" s="1068" t="str">
        <f t="shared" si="127"/>
        <v>ML3.5</v>
      </c>
      <c r="EQ27" s="792"/>
      <c r="ER27" s="793" t="str">
        <f t="shared" si="128"/>
        <v>ML1</v>
      </c>
      <c r="ES27" s="793" t="str">
        <f t="shared" si="138"/>
        <v>ML3.5</v>
      </c>
    </row>
    <row r="28" spans="1:149" s="504" customFormat="1" ht="15.75" thickBot="1" x14ac:dyDescent="0.3">
      <c r="A28" s="377" t="s">
        <v>218</v>
      </c>
      <c r="B28" s="761" t="str">
        <f>VLOOKUP($A28,'TIS Site Config'!$A$3:$AQ$51,2,FALSE)</f>
        <v>D09</v>
      </c>
      <c r="C28" s="751" t="str">
        <f>IF(VLOOKUP($A28,'TIS Site Config'!$A$3:$AQ$51,3,FALSE)&lt;&gt;"",
              VLOOKUP($A28,'TIS Site Config'!$A$3:$AQ$51,3,FALSE),"")</f>
        <v/>
      </c>
      <c r="D28" s="933" t="str">
        <f>VLOOKUP($A28,'TIS Site Config'!$A$3:$AQ$51,4,FALSE)</f>
        <v>Northern Great Plains Research Laboratory</v>
      </c>
      <c r="E28" s="786">
        <f t="shared" si="129"/>
        <v>4</v>
      </c>
      <c r="F28" s="866"/>
      <c r="G28" s="365">
        <v>0.3</v>
      </c>
      <c r="H28" s="373">
        <v>1</v>
      </c>
      <c r="I28" s="373">
        <v>3.5</v>
      </c>
      <c r="J28" s="373">
        <v>6</v>
      </c>
      <c r="K28" s="373"/>
      <c r="L28" s="373"/>
      <c r="M28" s="373"/>
      <c r="N28" s="374"/>
      <c r="O28" s="617">
        <v>26</v>
      </c>
      <c r="P28" s="618" t="s">
        <v>139</v>
      </c>
      <c r="Q28" s="772">
        <f t="shared" si="130"/>
        <v>2</v>
      </c>
      <c r="R28" s="620">
        <v>1</v>
      </c>
      <c r="S28" s="620"/>
      <c r="T28" s="371" t="s">
        <v>203</v>
      </c>
      <c r="U28" s="371" t="s">
        <v>203</v>
      </c>
      <c r="V28" s="371"/>
      <c r="W28" s="371"/>
      <c r="X28" s="371"/>
      <c r="Y28" s="371"/>
      <c r="Z28" s="371"/>
      <c r="AA28" s="371"/>
      <c r="AB28" s="371"/>
      <c r="AC28" s="371"/>
      <c r="AD28" s="371"/>
      <c r="AE28" s="371"/>
      <c r="AF28" s="371"/>
      <c r="AG28" s="371"/>
      <c r="AH28" s="371"/>
      <c r="AI28" s="371"/>
      <c r="AJ28" s="371"/>
      <c r="AK28" s="608"/>
      <c r="AL28" s="375">
        <v>12</v>
      </c>
      <c r="AM28" s="775">
        <f t="shared" si="131"/>
        <v>17</v>
      </c>
      <c r="AN28" s="373"/>
      <c r="AO28" s="789">
        <f t="shared" si="76"/>
        <v>1.3333333333333333</v>
      </c>
      <c r="AP28" s="844">
        <v>0.3</v>
      </c>
      <c r="AQ28" s="845">
        <v>1</v>
      </c>
      <c r="AR28" s="845">
        <v>3.5</v>
      </c>
      <c r="AS28" s="845">
        <v>6</v>
      </c>
      <c r="AT28" s="845"/>
      <c r="AU28" s="845"/>
      <c r="AV28" s="845"/>
      <c r="AW28" s="846"/>
      <c r="AX28" s="857">
        <v>0.3</v>
      </c>
      <c r="AY28" s="858">
        <v>1</v>
      </c>
      <c r="AZ28" s="858">
        <v>3.5</v>
      </c>
      <c r="BA28" s="858">
        <v>6</v>
      </c>
      <c r="BB28" s="858">
        <v>0</v>
      </c>
      <c r="BC28" s="858">
        <v>0</v>
      </c>
      <c r="BD28" s="858">
        <v>0</v>
      </c>
      <c r="BE28" s="859">
        <v>0</v>
      </c>
      <c r="BF28" s="794">
        <f t="shared" si="77"/>
        <v>-3.1734669529945109E-2</v>
      </c>
      <c r="BG28" s="599">
        <f t="shared" si="78"/>
        <v>0.1770460510617991</v>
      </c>
      <c r="BH28" s="599">
        <f t="shared" si="79"/>
        <v>0.92269148174659987</v>
      </c>
      <c r="BI28" s="599">
        <f t="shared" si="80"/>
        <v>2</v>
      </c>
      <c r="BJ28" s="599">
        <f t="shared" si="81"/>
        <v>0</v>
      </c>
      <c r="BK28" s="599">
        <f t="shared" si="82"/>
        <v>0</v>
      </c>
      <c r="BL28" s="599">
        <f t="shared" si="83"/>
        <v>0</v>
      </c>
      <c r="BM28" s="795">
        <f t="shared" si="84"/>
        <v>0</v>
      </c>
      <c r="BN28" s="802">
        <f t="shared" si="139"/>
        <v>3</v>
      </c>
      <c r="BO28" s="371">
        <f t="shared" si="140"/>
        <v>0</v>
      </c>
      <c r="BP28" s="371">
        <f t="shared" si="140"/>
        <v>1</v>
      </c>
      <c r="BQ28" s="371" t="str">
        <f t="shared" si="140"/>
        <v/>
      </c>
      <c r="BR28" s="371" t="str">
        <f t="shared" si="140"/>
        <v/>
      </c>
      <c r="BS28" s="371" t="str">
        <f t="shared" si="140"/>
        <v/>
      </c>
      <c r="BT28" s="371" t="str">
        <f t="shared" si="140"/>
        <v/>
      </c>
      <c r="BU28" s="371" t="str">
        <f t="shared" si="140"/>
        <v/>
      </c>
      <c r="BV28" s="371" t="str">
        <f t="shared" si="140"/>
        <v/>
      </c>
      <c r="BW28" s="371" t="str">
        <f t="shared" si="140"/>
        <v/>
      </c>
      <c r="BX28" s="371" t="str">
        <f t="shared" si="140"/>
        <v/>
      </c>
      <c r="BY28" s="371" t="str">
        <f t="shared" si="140"/>
        <v/>
      </c>
      <c r="BZ28" s="371" t="str">
        <f t="shared" si="140"/>
        <v/>
      </c>
      <c r="CA28" s="371" t="str">
        <f t="shared" si="140"/>
        <v/>
      </c>
      <c r="CB28" s="371" t="str">
        <f t="shared" si="140"/>
        <v/>
      </c>
      <c r="CC28" s="371" t="str">
        <f t="shared" si="143"/>
        <v/>
      </c>
      <c r="CD28" s="371" t="str">
        <f t="shared" si="143"/>
        <v/>
      </c>
      <c r="CE28" s="371" t="str">
        <f t="shared" si="141"/>
        <v/>
      </c>
      <c r="CF28" s="799" t="str">
        <f t="shared" si="142"/>
        <v/>
      </c>
      <c r="CG28" s="807" t="str">
        <f t="shared" si="88"/>
        <v>B, ML above</v>
      </c>
      <c r="CH28" s="595" t="str">
        <f t="shared" si="89"/>
        <v>TOP</v>
      </c>
      <c r="CI28" s="595" t="str">
        <f t="shared" si="90"/>
        <v/>
      </c>
      <c r="CJ28" s="595" t="str">
        <f t="shared" si="91"/>
        <v/>
      </c>
      <c r="CK28" s="595" t="str">
        <f t="shared" si="92"/>
        <v/>
      </c>
      <c r="CL28" s="595" t="str">
        <f t="shared" si="93"/>
        <v/>
      </c>
      <c r="CM28" s="595" t="str">
        <f t="shared" si="94"/>
        <v/>
      </c>
      <c r="CN28" s="595" t="str">
        <f t="shared" si="95"/>
        <v/>
      </c>
      <c r="CO28" s="595" t="str">
        <f t="shared" si="96"/>
        <v/>
      </c>
      <c r="CP28" s="595" t="str">
        <f t="shared" si="97"/>
        <v/>
      </c>
      <c r="CQ28" s="595" t="str">
        <f t="shared" si="98"/>
        <v/>
      </c>
      <c r="CR28" s="595" t="str">
        <f t="shared" si="99"/>
        <v/>
      </c>
      <c r="CS28" s="595" t="str">
        <f t="shared" si="100"/>
        <v/>
      </c>
      <c r="CT28" s="595" t="str">
        <f t="shared" si="101"/>
        <v/>
      </c>
      <c r="CU28" s="595" t="str">
        <f t="shared" si="102"/>
        <v/>
      </c>
      <c r="CV28" s="595" t="str">
        <f t="shared" si="103"/>
        <v/>
      </c>
      <c r="CW28" s="595" t="str">
        <f t="shared" si="104"/>
        <v/>
      </c>
      <c r="CX28" s="808" t="str">
        <f t="shared" si="105"/>
        <v/>
      </c>
      <c r="CY28" s="816">
        <f>IF(VLOOKUP(A28,'TIS Site Config'!$A$4:$AQ$51,6,FALSE)="Non-heated",COUNTIF($CG28:$CX28,$DT$3),0)</f>
        <v>0</v>
      </c>
      <c r="CZ28" s="596">
        <f>IF(OR(VLOOKUP(A28,'TIS Site Config'!$A$4:$AQ$51,6,FALSE)="Heated",VLOOKUP(A28,'TIS Site Config'!$A$4:$AQ$51,6,FALSE)="Extreme Heated"),COUNTIF($CG28:$CX28,$DT$3),0)</f>
        <v>0</v>
      </c>
      <c r="DA28" s="596">
        <f>IF(VLOOKUP(A28,'TIS Site Config'!$A$4:$AQ$51,6,FALSE)="Non-heated",COUNTIF($CG28:$CX28,$DU$3),0)</f>
        <v>0</v>
      </c>
      <c r="DB28" s="596">
        <f>IF(OR(VLOOKUP(A28,'TIS Site Config'!$A$4:$AQ$51,6,FALSE)="Heated",VLOOKUP(A28,'TIS Site Config'!$A$4:$AQ$51,6,FALSE)="Extreme heated"),COUNTIF($CG28:$CX28,$DU$3),0)</f>
        <v>1</v>
      </c>
      <c r="DC28" s="596">
        <f>IF(VLOOKUP(A28,'TIS Site Config'!$A$4:$AQ$51,6,FALSE)="Non-heated",COUNTIF($CG28:$CX28,$DW$3),0)</f>
        <v>0</v>
      </c>
      <c r="DD28" s="596">
        <f>IF(OR(VLOOKUP(A28,'TIS Site Config'!$A$4:$AQ$51,6,FALSE)="Heated",VLOOKUP(A28,'TIS Site Config'!$A$4:$AQ$51,6,FALSE)="Extreme heated"),COUNTIF($CG28:$CX28,$DW$3),0)</f>
        <v>0</v>
      </c>
      <c r="DE28" s="596">
        <f t="shared" si="132"/>
        <v>0</v>
      </c>
      <c r="DF28" s="596">
        <f>IF(VLOOKUP(A28,'TIS Site Config'!$A$4:$AQ$51,6,FALSE)="Non-heated",COUNTIF($CG28:$CX28,$DX$3),0)</f>
        <v>0</v>
      </c>
      <c r="DG28" s="596">
        <f>IF(OR(VLOOKUP(A28,'TIS Site Config'!$A$4:$AQ$51,6,FALSE)="Heated",VLOOKUP(A28,'TIS Site Config'!$A$4:$AQ$51,6,FALSE)="Extreme heated"),COUNTIF($CG28:$CX28,$DX$3),0)</f>
        <v>1</v>
      </c>
      <c r="DH28" s="817"/>
      <c r="DI28" s="791">
        <f t="shared" si="133"/>
        <v>0</v>
      </c>
      <c r="DJ28" s="365">
        <f t="shared" si="134"/>
        <v>0</v>
      </c>
      <c r="DK28" s="365">
        <f t="shared" si="135"/>
        <v>3</v>
      </c>
      <c r="DL28" s="376">
        <v>1</v>
      </c>
      <c r="DM28" s="609">
        <f t="shared" si="106"/>
        <v>4</v>
      </c>
      <c r="DN28" s="883">
        <f t="shared" si="136"/>
        <v>0</v>
      </c>
      <c r="DO28" s="593">
        <f t="shared" si="107"/>
        <v>1</v>
      </c>
      <c r="DP28" s="593">
        <f t="shared" si="108"/>
        <v>1</v>
      </c>
      <c r="DR28" s="504">
        <f t="shared" si="109"/>
        <v>2</v>
      </c>
      <c r="DS28" s="504">
        <f t="shared" si="110"/>
        <v>0</v>
      </c>
      <c r="DT28" s="504">
        <f t="shared" si="111"/>
        <v>0</v>
      </c>
      <c r="DZ28" s="794">
        <f t="shared" si="137"/>
        <v>-3.1734669529945109E-2</v>
      </c>
      <c r="EA28" s="599">
        <f t="shared" si="112"/>
        <v>0.1770460510617991</v>
      </c>
      <c r="EB28" s="599">
        <f t="shared" si="113"/>
        <v>0.92269148174659987</v>
      </c>
      <c r="EC28" s="599">
        <f t="shared" si="114"/>
        <v>2</v>
      </c>
      <c r="ED28" s="599">
        <f t="shared" si="115"/>
        <v>100</v>
      </c>
      <c r="EE28" s="599">
        <f t="shared" si="116"/>
        <v>100</v>
      </c>
      <c r="EF28" s="599">
        <f t="shared" si="117"/>
        <v>100</v>
      </c>
      <c r="EG28" s="795">
        <f t="shared" si="118"/>
        <v>100</v>
      </c>
      <c r="EH28" s="1054">
        <f t="shared" si="119"/>
        <v>100</v>
      </c>
      <c r="EI28" s="1054">
        <f t="shared" si="120"/>
        <v>100</v>
      </c>
      <c r="EJ28" s="1054">
        <f t="shared" si="121"/>
        <v>100</v>
      </c>
      <c r="EK28" s="1054">
        <f t="shared" si="122"/>
        <v>100</v>
      </c>
      <c r="EL28" s="1054">
        <f t="shared" si="123"/>
        <v>2</v>
      </c>
      <c r="EM28" s="1054">
        <f t="shared" si="124"/>
        <v>0.92269148174659987</v>
      </c>
      <c r="EN28" s="1054">
        <f t="shared" si="125"/>
        <v>0.1770460510617991</v>
      </c>
      <c r="EO28" s="1054">
        <f t="shared" si="126"/>
        <v>-3.1734669529945109E-2</v>
      </c>
      <c r="EP28" s="1070" t="str">
        <f t="shared" si="127"/>
        <v>ML3.5</v>
      </c>
      <c r="EQ28" s="794"/>
      <c r="ER28" s="795" t="str">
        <f t="shared" si="128"/>
        <v>ML1</v>
      </c>
      <c r="ES28" s="795" t="str">
        <f t="shared" si="138"/>
        <v>ML3.5</v>
      </c>
    </row>
    <row r="29" spans="1:149" s="504" customFormat="1" x14ac:dyDescent="0.25">
      <c r="A29" s="584" t="s">
        <v>21</v>
      </c>
      <c r="B29" s="930" t="str">
        <f>VLOOKUP($A29,'TIS Site Config'!$A$3:$AQ$51,2,FALSE)</f>
        <v>D10</v>
      </c>
      <c r="C29" s="934" t="str">
        <f>IF(VLOOKUP($A29,'TIS Site Config'!$A$3:$AQ$51,3,FALSE)&lt;&gt;"",
              VLOOKUP($A29,'TIS Site Config'!$A$3:$AQ$51,3,FALSE),"")</f>
        <v>0-FY13</v>
      </c>
      <c r="D29" s="931" t="str">
        <f>VLOOKUP($A29,'TIS Site Config'!$A$3:$AQ$51,4,FALSE)</f>
        <v>Central Plains Experimental Range</v>
      </c>
      <c r="E29" s="784">
        <f t="shared" si="129"/>
        <v>4</v>
      </c>
      <c r="F29" s="864"/>
      <c r="G29" s="831">
        <v>0.15</v>
      </c>
      <c r="H29" s="831">
        <v>2.2599999999999998</v>
      </c>
      <c r="I29" s="831">
        <v>3.76</v>
      </c>
      <c r="J29" s="831">
        <v>8</v>
      </c>
      <c r="K29" s="597"/>
      <c r="L29" s="597"/>
      <c r="M29" s="597"/>
      <c r="N29" s="826"/>
      <c r="O29" s="613">
        <v>26</v>
      </c>
      <c r="P29" s="614" t="s">
        <v>139</v>
      </c>
      <c r="Q29" s="770">
        <f t="shared" si="130"/>
        <v>2</v>
      </c>
      <c r="R29" s="611">
        <v>1</v>
      </c>
      <c r="S29" s="611"/>
      <c r="T29" s="368" t="s">
        <v>203</v>
      </c>
      <c r="U29" s="368" t="s">
        <v>203</v>
      </c>
      <c r="V29" s="368"/>
      <c r="W29" s="368"/>
      <c r="X29" s="368"/>
      <c r="Y29" s="368"/>
      <c r="Z29" s="368"/>
      <c r="AA29" s="368"/>
      <c r="AB29" s="368"/>
      <c r="AC29" s="368"/>
      <c r="AD29" s="368"/>
      <c r="AE29" s="368"/>
      <c r="AF29" s="368"/>
      <c r="AG29" s="368"/>
      <c r="AH29" s="368"/>
      <c r="AI29" s="368"/>
      <c r="AJ29" s="368"/>
      <c r="AK29" s="602"/>
      <c r="AL29" s="819">
        <v>18</v>
      </c>
      <c r="AM29" s="773">
        <f t="shared" si="131"/>
        <v>23</v>
      </c>
      <c r="AN29" s="597">
        <v>23.5</v>
      </c>
      <c r="AO29" s="787">
        <f t="shared" si="76"/>
        <v>1.875</v>
      </c>
      <c r="AP29" s="838">
        <v>0.15</v>
      </c>
      <c r="AQ29" s="839">
        <v>2.2599999999999998</v>
      </c>
      <c r="AR29" s="839">
        <v>3.76</v>
      </c>
      <c r="AS29" s="839">
        <v>8</v>
      </c>
      <c r="AT29" s="839"/>
      <c r="AU29" s="839"/>
      <c r="AV29" s="839"/>
      <c r="AW29" s="840"/>
      <c r="AX29" s="860">
        <v>0.15</v>
      </c>
      <c r="AY29" s="852">
        <v>2.2599999999999998</v>
      </c>
      <c r="AZ29" s="852">
        <v>3.76</v>
      </c>
      <c r="BA29" s="852">
        <v>8</v>
      </c>
      <c r="BB29" s="852">
        <v>0</v>
      </c>
      <c r="BC29" s="852">
        <v>0</v>
      </c>
      <c r="BD29" s="852">
        <v>0</v>
      </c>
      <c r="BE29" s="853">
        <v>0</v>
      </c>
      <c r="BF29" s="835">
        <f t="shared" si="77"/>
        <v>-0.1257158196134574</v>
      </c>
      <c r="BG29" s="836">
        <f t="shared" si="78"/>
        <v>0.50360892388451439</v>
      </c>
      <c r="BH29" s="836">
        <f t="shared" si="79"/>
        <v>0.95099618229539484</v>
      </c>
      <c r="BI29" s="836">
        <f t="shared" si="80"/>
        <v>2</v>
      </c>
      <c r="BJ29" s="836">
        <f t="shared" si="81"/>
        <v>0</v>
      </c>
      <c r="BK29" s="836">
        <f t="shared" si="82"/>
        <v>0</v>
      </c>
      <c r="BL29" s="836">
        <f t="shared" si="83"/>
        <v>0</v>
      </c>
      <c r="BM29" s="837">
        <f t="shared" si="84"/>
        <v>0</v>
      </c>
      <c r="BN29" s="800">
        <f t="shared" si="139"/>
        <v>3</v>
      </c>
      <c r="BO29" s="368">
        <f t="shared" si="140"/>
        <v>0</v>
      </c>
      <c r="BP29" s="368">
        <f t="shared" si="140"/>
        <v>1</v>
      </c>
      <c r="BQ29" s="368" t="str">
        <f t="shared" si="140"/>
        <v/>
      </c>
      <c r="BR29" s="368" t="str">
        <f t="shared" si="140"/>
        <v/>
      </c>
      <c r="BS29" s="368" t="str">
        <f t="shared" si="140"/>
        <v/>
      </c>
      <c r="BT29" s="368" t="str">
        <f t="shared" si="140"/>
        <v/>
      </c>
      <c r="BU29" s="368" t="str">
        <f t="shared" si="140"/>
        <v/>
      </c>
      <c r="BV29" s="368" t="str">
        <f t="shared" si="140"/>
        <v/>
      </c>
      <c r="BW29" s="368" t="str">
        <f t="shared" si="140"/>
        <v/>
      </c>
      <c r="BX29" s="368" t="str">
        <f t="shared" si="140"/>
        <v/>
      </c>
      <c r="BY29" s="368" t="str">
        <f t="shared" si="140"/>
        <v/>
      </c>
      <c r="BZ29" s="368" t="str">
        <f t="shared" si="140"/>
        <v/>
      </c>
      <c r="CA29" s="368" t="str">
        <f t="shared" si="140"/>
        <v/>
      </c>
      <c r="CB29" s="368" t="str">
        <f t="shared" si="140"/>
        <v/>
      </c>
      <c r="CC29" s="368" t="str">
        <f t="shared" si="143"/>
        <v/>
      </c>
      <c r="CD29" s="368" t="str">
        <f t="shared" si="143"/>
        <v/>
      </c>
      <c r="CE29" s="368" t="str">
        <f t="shared" si="141"/>
        <v/>
      </c>
      <c r="CF29" s="797" t="str">
        <f t="shared" si="142"/>
        <v/>
      </c>
      <c r="CG29" s="803" t="str">
        <f t="shared" si="88"/>
        <v>B, ML above</v>
      </c>
      <c r="CH29" s="591" t="str">
        <f t="shared" si="89"/>
        <v>TOP</v>
      </c>
      <c r="CI29" s="591" t="str">
        <f t="shared" si="90"/>
        <v/>
      </c>
      <c r="CJ29" s="591" t="str">
        <f t="shared" si="91"/>
        <v/>
      </c>
      <c r="CK29" s="591" t="str">
        <f t="shared" si="92"/>
        <v/>
      </c>
      <c r="CL29" s="591" t="str">
        <f t="shared" si="93"/>
        <v/>
      </c>
      <c r="CM29" s="591" t="str">
        <f t="shared" si="94"/>
        <v/>
      </c>
      <c r="CN29" s="591" t="str">
        <f t="shared" si="95"/>
        <v/>
      </c>
      <c r="CO29" s="591" t="str">
        <f t="shared" si="96"/>
        <v/>
      </c>
      <c r="CP29" s="591" t="str">
        <f t="shared" si="97"/>
        <v/>
      </c>
      <c r="CQ29" s="591" t="str">
        <f t="shared" si="98"/>
        <v/>
      </c>
      <c r="CR29" s="591" t="str">
        <f t="shared" si="99"/>
        <v/>
      </c>
      <c r="CS29" s="591" t="str">
        <f t="shared" si="100"/>
        <v/>
      </c>
      <c r="CT29" s="591" t="str">
        <f t="shared" si="101"/>
        <v/>
      </c>
      <c r="CU29" s="591" t="str">
        <f t="shared" si="102"/>
        <v/>
      </c>
      <c r="CV29" s="591" t="str">
        <f t="shared" si="103"/>
        <v/>
      </c>
      <c r="CW29" s="591" t="str">
        <f t="shared" si="104"/>
        <v/>
      </c>
      <c r="CX29" s="804" t="str">
        <f t="shared" si="105"/>
        <v/>
      </c>
      <c r="CY29" s="813">
        <f>IF(VLOOKUP(A29,'TIS Site Config'!$A$4:$AQ$51,6,FALSE)="Non-heated",COUNTIF($CG29:$CX29,$DT$3),0)</f>
        <v>0</v>
      </c>
      <c r="CZ29" s="592">
        <f>IF(OR(VLOOKUP(A29,'TIS Site Config'!$A$4:$AQ$51,6,FALSE)="Heated",VLOOKUP(A29,'TIS Site Config'!$A$4:$AQ$51,6,FALSE)="Extreme Heated"),COUNTIF($CG29:$CX29,$DT$3),0)</f>
        <v>0</v>
      </c>
      <c r="DA29" s="592">
        <f>IF(VLOOKUP(A29,'TIS Site Config'!$A$4:$AQ$51,6,FALSE)="Non-heated",COUNTIF($CG29:$CX29,$DU$3),0)</f>
        <v>0</v>
      </c>
      <c r="DB29" s="592">
        <f>IF(OR(VLOOKUP(A29,'TIS Site Config'!$A$4:$AQ$51,6,FALSE)="Heated",VLOOKUP(A29,'TIS Site Config'!$A$4:$AQ$51,6,FALSE)="Extreme heated"),COUNTIF($CG29:$CX29,$DU$3),0)</f>
        <v>1</v>
      </c>
      <c r="DC29" s="592">
        <f>IF(VLOOKUP(A29,'TIS Site Config'!$A$4:$AQ$51,6,FALSE)="Non-heated",COUNTIF($CG29:$CX29,$DW$3),0)</f>
        <v>0</v>
      </c>
      <c r="DD29" s="592">
        <f>IF(OR(VLOOKUP(A29,'TIS Site Config'!$A$4:$AQ$51,6,FALSE)="Heated",VLOOKUP(A29,'TIS Site Config'!$A$4:$AQ$51,6,FALSE)="Extreme heated"),COUNTIF($CG29:$CX29,$DW$3),0)</f>
        <v>0</v>
      </c>
      <c r="DE29" s="592">
        <f t="shared" si="132"/>
        <v>0</v>
      </c>
      <c r="DF29" s="592">
        <f>IF(VLOOKUP(A29,'TIS Site Config'!$A$4:$AQ$51,6,FALSE)="Non-heated",COUNTIF($CG29:$CX29,$DX$3),0)</f>
        <v>0</v>
      </c>
      <c r="DG29" s="592">
        <f>IF(OR(VLOOKUP(A29,'TIS Site Config'!$A$4:$AQ$51,6,FALSE)="Heated",VLOOKUP(A29,'TIS Site Config'!$A$4:$AQ$51,6,FALSE)="Extreme heated"),COUNTIF($CG29:$CX29,$DX$3),0)</f>
        <v>1</v>
      </c>
      <c r="DH29" s="814"/>
      <c r="DI29" s="810">
        <f t="shared" si="133"/>
        <v>0</v>
      </c>
      <c r="DJ29" s="355">
        <f t="shared" si="134"/>
        <v>0</v>
      </c>
      <c r="DK29" s="355">
        <f t="shared" si="135"/>
        <v>3</v>
      </c>
      <c r="DL29" s="603">
        <v>1</v>
      </c>
      <c r="DM29" s="604">
        <f t="shared" si="106"/>
        <v>4</v>
      </c>
      <c r="DN29" s="883">
        <f t="shared" si="136"/>
        <v>0</v>
      </c>
      <c r="DO29" s="593">
        <f t="shared" si="107"/>
        <v>1</v>
      </c>
      <c r="DP29" s="593">
        <f t="shared" si="108"/>
        <v>1</v>
      </c>
      <c r="DR29" s="504">
        <f t="shared" si="109"/>
        <v>2</v>
      </c>
      <c r="DS29" s="504">
        <f t="shared" si="110"/>
        <v>0</v>
      </c>
      <c r="DT29" s="504">
        <f t="shared" si="111"/>
        <v>0</v>
      </c>
      <c r="DZ29" s="835">
        <f t="shared" si="137"/>
        <v>-0.1257158196134574</v>
      </c>
      <c r="EA29" s="836">
        <f t="shared" si="112"/>
        <v>0.50360892388451439</v>
      </c>
      <c r="EB29" s="836">
        <f t="shared" si="113"/>
        <v>0.95099618229539484</v>
      </c>
      <c r="EC29" s="836">
        <f t="shared" si="114"/>
        <v>2</v>
      </c>
      <c r="ED29" s="836">
        <f t="shared" si="115"/>
        <v>100</v>
      </c>
      <c r="EE29" s="836">
        <f t="shared" si="116"/>
        <v>100</v>
      </c>
      <c r="EF29" s="836">
        <f t="shared" si="117"/>
        <v>100</v>
      </c>
      <c r="EG29" s="837">
        <f t="shared" si="118"/>
        <v>100</v>
      </c>
      <c r="EH29" s="1053">
        <f t="shared" si="119"/>
        <v>100</v>
      </c>
      <c r="EI29" s="1053">
        <f t="shared" si="120"/>
        <v>100</v>
      </c>
      <c r="EJ29" s="1053">
        <f t="shared" si="121"/>
        <v>100</v>
      </c>
      <c r="EK29" s="1053">
        <f t="shared" si="122"/>
        <v>100</v>
      </c>
      <c r="EL29" s="1053">
        <f t="shared" si="123"/>
        <v>2</v>
      </c>
      <c r="EM29" s="1053">
        <f t="shared" si="124"/>
        <v>0.95099618229539484</v>
      </c>
      <c r="EN29" s="1053">
        <f t="shared" si="125"/>
        <v>0.50360892388451439</v>
      </c>
      <c r="EO29" s="1053">
        <f t="shared" si="126"/>
        <v>-0.1257158196134574</v>
      </c>
      <c r="EP29" s="1065" t="str">
        <f t="shared" si="127"/>
        <v>ML3.5</v>
      </c>
      <c r="EQ29" s="835"/>
      <c r="ER29" s="837" t="str">
        <f t="shared" si="128"/>
        <v>ML1</v>
      </c>
      <c r="ES29" s="837" t="str">
        <f t="shared" si="138"/>
        <v>ML3.5</v>
      </c>
    </row>
    <row r="30" spans="1:149" s="504" customFormat="1" x14ac:dyDescent="0.25">
      <c r="A30" s="514" t="s">
        <v>20</v>
      </c>
      <c r="B30" s="757" t="str">
        <f>VLOOKUP($A30,'TIS Site Config'!$A$3:$AQ$51,2,FALSE)</f>
        <v>D10</v>
      </c>
      <c r="C30" s="753" t="str">
        <f>IF(VLOOKUP($A30,'TIS Site Config'!$A$3:$AQ$51,3,FALSE)&lt;&gt;"",
              VLOOKUP($A30,'TIS Site Config'!$A$3:$AQ$51,3,FALSE),"")</f>
        <v>0-FY13</v>
      </c>
      <c r="D30" s="932" t="str">
        <f>VLOOKUP($A30,'TIS Site Config'!$A$3:$AQ$51,4,FALSE)</f>
        <v>North Sterling, CO</v>
      </c>
      <c r="E30" s="784">
        <f t="shared" si="129"/>
        <v>4</v>
      </c>
      <c r="F30" s="864"/>
      <c r="G30" s="833">
        <v>0.15</v>
      </c>
      <c r="H30" s="833">
        <v>2</v>
      </c>
      <c r="I30" s="833">
        <v>5</v>
      </c>
      <c r="J30" s="833">
        <v>8</v>
      </c>
      <c r="K30" s="506"/>
      <c r="L30" s="506"/>
      <c r="M30" s="506"/>
      <c r="N30" s="507"/>
      <c r="O30" s="615">
        <v>26</v>
      </c>
      <c r="P30" s="616" t="s">
        <v>139</v>
      </c>
      <c r="Q30" s="770">
        <f t="shared" si="130"/>
        <v>2</v>
      </c>
      <c r="R30" s="611">
        <v>1</v>
      </c>
      <c r="S30" s="611"/>
      <c r="T30" s="366" t="s">
        <v>203</v>
      </c>
      <c r="U30" s="366" t="s">
        <v>203</v>
      </c>
      <c r="V30" s="366"/>
      <c r="W30" s="366"/>
      <c r="X30" s="366"/>
      <c r="Y30" s="366"/>
      <c r="Z30" s="366"/>
      <c r="AA30" s="366"/>
      <c r="AB30" s="366"/>
      <c r="AC30" s="366"/>
      <c r="AD30" s="366"/>
      <c r="AE30" s="366"/>
      <c r="AF30" s="366"/>
      <c r="AG30" s="366"/>
      <c r="AH30" s="366"/>
      <c r="AI30" s="366"/>
      <c r="AJ30" s="366"/>
      <c r="AK30" s="605"/>
      <c r="AL30" s="508">
        <v>0</v>
      </c>
      <c r="AM30" s="773">
        <f t="shared" si="131"/>
        <v>5</v>
      </c>
      <c r="AN30" s="506">
        <v>3.625</v>
      </c>
      <c r="AO30" s="787">
        <f t="shared" si="76"/>
        <v>0.21875</v>
      </c>
      <c r="AP30" s="841">
        <v>0.15</v>
      </c>
      <c r="AQ30" s="842">
        <v>2</v>
      </c>
      <c r="AR30" s="842">
        <v>5</v>
      </c>
      <c r="AS30" s="842">
        <v>8</v>
      </c>
      <c r="AT30" s="842"/>
      <c r="AU30" s="842"/>
      <c r="AV30" s="842"/>
      <c r="AW30" s="843"/>
      <c r="AX30" s="854">
        <v>0.15</v>
      </c>
      <c r="AY30" s="855">
        <v>2</v>
      </c>
      <c r="AZ30" s="855">
        <v>5</v>
      </c>
      <c r="BA30" s="855">
        <v>8</v>
      </c>
      <c r="BB30" s="855">
        <v>0</v>
      </c>
      <c r="BC30" s="855">
        <v>0</v>
      </c>
      <c r="BD30" s="855">
        <v>0</v>
      </c>
      <c r="BE30" s="856">
        <v>0</v>
      </c>
      <c r="BF30" s="792">
        <f t="shared" si="77"/>
        <v>2.485236220472441E-2</v>
      </c>
      <c r="BG30" s="598">
        <f t="shared" si="78"/>
        <v>0.57662998091147699</v>
      </c>
      <c r="BH30" s="598">
        <f t="shared" si="79"/>
        <v>1.4714044977332379</v>
      </c>
      <c r="BI30" s="598">
        <f t="shared" si="80"/>
        <v>2</v>
      </c>
      <c r="BJ30" s="598">
        <f t="shared" si="81"/>
        <v>0</v>
      </c>
      <c r="BK30" s="598">
        <f t="shared" si="82"/>
        <v>0</v>
      </c>
      <c r="BL30" s="598">
        <f t="shared" si="83"/>
        <v>0</v>
      </c>
      <c r="BM30" s="793">
        <f t="shared" si="84"/>
        <v>0</v>
      </c>
      <c r="BN30" s="801">
        <f t="shared" si="139"/>
        <v>2</v>
      </c>
      <c r="BO30" s="366">
        <f t="shared" si="140"/>
        <v>1</v>
      </c>
      <c r="BP30" s="366">
        <f t="shared" si="140"/>
        <v>1</v>
      </c>
      <c r="BQ30" s="366" t="str">
        <f t="shared" si="140"/>
        <v/>
      </c>
      <c r="BR30" s="366" t="str">
        <f t="shared" si="140"/>
        <v/>
      </c>
      <c r="BS30" s="366" t="str">
        <f t="shared" si="140"/>
        <v/>
      </c>
      <c r="BT30" s="366" t="str">
        <f t="shared" si="140"/>
        <v/>
      </c>
      <c r="BU30" s="366" t="str">
        <f t="shared" si="140"/>
        <v/>
      </c>
      <c r="BV30" s="366" t="str">
        <f t="shared" si="140"/>
        <v/>
      </c>
      <c r="BW30" s="366" t="str">
        <f t="shared" si="140"/>
        <v/>
      </c>
      <c r="BX30" s="366" t="str">
        <f t="shared" si="140"/>
        <v/>
      </c>
      <c r="BY30" s="366" t="str">
        <f t="shared" si="140"/>
        <v/>
      </c>
      <c r="BZ30" s="366" t="str">
        <f t="shared" si="140"/>
        <v/>
      </c>
      <c r="CA30" s="366" t="str">
        <f t="shared" si="140"/>
        <v/>
      </c>
      <c r="CB30" s="366" t="str">
        <f t="shared" si="140"/>
        <v/>
      </c>
      <c r="CC30" s="366" t="str">
        <f t="shared" si="143"/>
        <v/>
      </c>
      <c r="CD30" s="366" t="str">
        <f t="shared" si="143"/>
        <v/>
      </c>
      <c r="CE30" s="366" t="str">
        <f t="shared" si="141"/>
        <v/>
      </c>
      <c r="CF30" s="798" t="str">
        <f t="shared" si="142"/>
        <v/>
      </c>
      <c r="CG30" s="805" t="str">
        <f t="shared" si="88"/>
        <v>B, ML above</v>
      </c>
      <c r="CH30" s="594" t="str">
        <f t="shared" si="89"/>
        <v>TOP</v>
      </c>
      <c r="CI30" s="594" t="str">
        <f t="shared" si="90"/>
        <v/>
      </c>
      <c r="CJ30" s="594" t="str">
        <f t="shared" si="91"/>
        <v/>
      </c>
      <c r="CK30" s="594" t="str">
        <f t="shared" si="92"/>
        <v/>
      </c>
      <c r="CL30" s="594" t="str">
        <f t="shared" si="93"/>
        <v/>
      </c>
      <c r="CM30" s="594" t="str">
        <f t="shared" si="94"/>
        <v/>
      </c>
      <c r="CN30" s="594" t="str">
        <f t="shared" si="95"/>
        <v/>
      </c>
      <c r="CO30" s="594" t="str">
        <f t="shared" si="96"/>
        <v/>
      </c>
      <c r="CP30" s="594" t="str">
        <f t="shared" si="97"/>
        <v/>
      </c>
      <c r="CQ30" s="594" t="str">
        <f t="shared" si="98"/>
        <v/>
      </c>
      <c r="CR30" s="594" t="str">
        <f t="shared" si="99"/>
        <v/>
      </c>
      <c r="CS30" s="594" t="str">
        <f t="shared" si="100"/>
        <v/>
      </c>
      <c r="CT30" s="594" t="str">
        <f t="shared" si="101"/>
        <v/>
      </c>
      <c r="CU30" s="594" t="str">
        <f t="shared" si="102"/>
        <v/>
      </c>
      <c r="CV30" s="594" t="str">
        <f t="shared" si="103"/>
        <v/>
      </c>
      <c r="CW30" s="594" t="str">
        <f t="shared" si="104"/>
        <v/>
      </c>
      <c r="CX30" s="806" t="str">
        <f t="shared" si="105"/>
        <v/>
      </c>
      <c r="CY30" s="815">
        <f>IF(VLOOKUP(A30,'TIS Site Config'!$A$4:$AQ$51,6,FALSE)="Non-heated",COUNTIF($CG30:$CX30,$DT$3),0)</f>
        <v>0</v>
      </c>
      <c r="CZ30" s="738">
        <f>IF(OR(VLOOKUP(A30,'TIS Site Config'!$A$4:$AQ$51,6,FALSE)="Heated",VLOOKUP(A30,'TIS Site Config'!$A$4:$AQ$51,6,FALSE)="Extreme Heated"),COUNTIF($CG30:$CX30,$DT$3),0)</f>
        <v>0</v>
      </c>
      <c r="DA30" s="738">
        <f>IF(VLOOKUP(A30,'TIS Site Config'!$A$4:$AQ$51,6,FALSE)="Non-heated",COUNTIF($CG30:$CX30,$DU$3),0)</f>
        <v>0</v>
      </c>
      <c r="DB30" s="738">
        <f>IF(OR(VLOOKUP(A30,'TIS Site Config'!$A$4:$AQ$51,6,FALSE)="Heated",VLOOKUP(A30,'TIS Site Config'!$A$4:$AQ$51,6,FALSE)="Extreme heated"),COUNTIF($CG30:$CX30,$DU$3),0)</f>
        <v>1</v>
      </c>
      <c r="DC30" s="738">
        <f>IF(VLOOKUP(A30,'TIS Site Config'!$A$4:$AQ$51,6,FALSE)="Non-heated",COUNTIF($CG30:$CX30,$DW$3),0)</f>
        <v>0</v>
      </c>
      <c r="DD30" s="738">
        <f>IF(OR(VLOOKUP(A30,'TIS Site Config'!$A$4:$AQ$51,6,FALSE)="Heated",VLOOKUP(A30,'TIS Site Config'!$A$4:$AQ$51,6,FALSE)="Extreme heated"),COUNTIF($CG30:$CX30,$DW$3),0)</f>
        <v>0</v>
      </c>
      <c r="DE30" s="738">
        <f t="shared" si="132"/>
        <v>0</v>
      </c>
      <c r="DF30" s="738">
        <f>IF(VLOOKUP(A30,'TIS Site Config'!$A$4:$AQ$51,6,FALSE)="Non-heated",COUNTIF($CG30:$CX30,$DX$3),0)</f>
        <v>0</v>
      </c>
      <c r="DG30" s="738">
        <f>IF(OR(VLOOKUP(A30,'TIS Site Config'!$A$4:$AQ$51,6,FALSE)="Heated",VLOOKUP(A30,'TIS Site Config'!$A$4:$AQ$51,6,FALSE)="Extreme heated"),COUNTIF($CG30:$CX30,$DX$3),0)</f>
        <v>1</v>
      </c>
      <c r="DH30" s="812"/>
      <c r="DI30" s="790">
        <f t="shared" si="133"/>
        <v>0</v>
      </c>
      <c r="DJ30" s="357">
        <f t="shared" si="134"/>
        <v>0</v>
      </c>
      <c r="DK30" s="357">
        <f t="shared" si="135"/>
        <v>3</v>
      </c>
      <c r="DL30" s="606">
        <v>1</v>
      </c>
      <c r="DM30" s="607">
        <f t="shared" si="106"/>
        <v>4</v>
      </c>
      <c r="DN30" s="883">
        <f t="shared" si="136"/>
        <v>0</v>
      </c>
      <c r="DO30" s="593">
        <f t="shared" si="107"/>
        <v>1</v>
      </c>
      <c r="DP30" s="593">
        <f t="shared" si="108"/>
        <v>2</v>
      </c>
      <c r="DR30" s="504">
        <f t="shared" si="109"/>
        <v>2</v>
      </c>
      <c r="DS30" s="504">
        <f t="shared" si="110"/>
        <v>0</v>
      </c>
      <c r="DT30" s="504">
        <f t="shared" si="111"/>
        <v>0</v>
      </c>
      <c r="DZ30" s="792">
        <f t="shared" si="137"/>
        <v>2.485236220472441E-2</v>
      </c>
      <c r="EA30" s="598">
        <f t="shared" si="112"/>
        <v>0.57662998091147699</v>
      </c>
      <c r="EB30" s="598">
        <f t="shared" si="113"/>
        <v>1.4714044977332379</v>
      </c>
      <c r="EC30" s="598">
        <f t="shared" si="114"/>
        <v>2</v>
      </c>
      <c r="ED30" s="598">
        <f t="shared" si="115"/>
        <v>100</v>
      </c>
      <c r="EE30" s="598">
        <f t="shared" si="116"/>
        <v>100</v>
      </c>
      <c r="EF30" s="598">
        <f t="shared" si="117"/>
        <v>100</v>
      </c>
      <c r="EG30" s="793">
        <f t="shared" si="118"/>
        <v>100</v>
      </c>
      <c r="EH30" s="1055">
        <f t="shared" si="119"/>
        <v>100</v>
      </c>
      <c r="EI30" s="1055">
        <f t="shared" si="120"/>
        <v>100</v>
      </c>
      <c r="EJ30" s="1055">
        <f t="shared" si="121"/>
        <v>100</v>
      </c>
      <c r="EK30" s="1055">
        <f t="shared" si="122"/>
        <v>100</v>
      </c>
      <c r="EL30" s="1055">
        <f t="shared" si="123"/>
        <v>2</v>
      </c>
      <c r="EM30" s="1055">
        <f t="shared" si="124"/>
        <v>1.4714044977332379</v>
      </c>
      <c r="EN30" s="1055">
        <f t="shared" si="125"/>
        <v>0.57662998091147699</v>
      </c>
      <c r="EO30" s="1055">
        <f t="shared" si="126"/>
        <v>2.485236220472441E-2</v>
      </c>
      <c r="EP30" s="1069" t="str">
        <f t="shared" si="127"/>
        <v>ML3</v>
      </c>
      <c r="EQ30" s="792"/>
      <c r="ER30" s="793" t="e">
        <f t="shared" si="128"/>
        <v>#N/A</v>
      </c>
      <c r="ES30" s="793" t="str">
        <f t="shared" si="138"/>
        <v>ML3.5</v>
      </c>
    </row>
    <row r="31" spans="1:149" s="504" customFormat="1" ht="15.75" thickBot="1" x14ac:dyDescent="0.3">
      <c r="A31" s="377" t="s">
        <v>219</v>
      </c>
      <c r="B31" s="761" t="str">
        <f>VLOOKUP($A31,'TIS Site Config'!$A$3:$AQ$51,2,FALSE)</f>
        <v>D10</v>
      </c>
      <c r="C31" s="751" t="str">
        <f>IF(VLOOKUP($A31,'TIS Site Config'!$A$3:$AQ$51,3,FALSE)&lt;&gt;"",
              VLOOKUP($A31,'TIS Site Config'!$A$3:$AQ$51,3,FALSE),"")</f>
        <v>A-FY14</v>
      </c>
      <c r="D31" s="933" t="str">
        <f>VLOOKUP($A31,'TIS Site Config'!$A$3:$AQ$51,4,FALSE)</f>
        <v>Rocky Mountain National Park, CASTNET</v>
      </c>
      <c r="E31" s="786">
        <f t="shared" si="129"/>
        <v>5</v>
      </c>
      <c r="F31" s="866"/>
      <c r="G31" s="834">
        <v>0.3</v>
      </c>
      <c r="H31" s="834">
        <v>6.8</v>
      </c>
      <c r="I31" s="834">
        <v>13</v>
      </c>
      <c r="J31" s="834">
        <v>18</v>
      </c>
      <c r="K31" s="834">
        <v>24.5</v>
      </c>
      <c r="L31" s="823"/>
      <c r="M31" s="823"/>
      <c r="N31" s="828"/>
      <c r="O31" s="617">
        <v>81</v>
      </c>
      <c r="P31" s="624" t="s">
        <v>139</v>
      </c>
      <c r="Q31" s="772">
        <f t="shared" si="130"/>
        <v>7</v>
      </c>
      <c r="R31" s="620">
        <v>1</v>
      </c>
      <c r="S31" s="620"/>
      <c r="T31" s="371" t="s">
        <v>205</v>
      </c>
      <c r="U31" s="371" t="s">
        <v>205</v>
      </c>
      <c r="V31" s="371" t="s">
        <v>205</v>
      </c>
      <c r="W31" s="371" t="s">
        <v>204</v>
      </c>
      <c r="X31" s="371" t="s">
        <v>204</v>
      </c>
      <c r="Y31" s="371" t="s">
        <v>203</v>
      </c>
      <c r="Z31" s="371" t="s">
        <v>203</v>
      </c>
      <c r="AA31" s="371"/>
      <c r="AB31" s="371"/>
      <c r="AC31" s="371"/>
      <c r="AD31" s="371"/>
      <c r="AE31" s="371"/>
      <c r="AF31" s="371"/>
      <c r="AG31" s="371"/>
      <c r="AH31" s="371"/>
      <c r="AI31" s="371"/>
      <c r="AJ31" s="371"/>
      <c r="AK31" s="608"/>
      <c r="AL31" s="822">
        <v>12</v>
      </c>
      <c r="AM31" s="775">
        <f t="shared" si="131"/>
        <v>17</v>
      </c>
      <c r="AN31" s="823">
        <v>14.75</v>
      </c>
      <c r="AO31" s="789">
        <f t="shared" si="76"/>
        <v>1.1458333333333333</v>
      </c>
      <c r="AP31" s="844">
        <v>0.3</v>
      </c>
      <c r="AQ31" s="845">
        <v>6.8</v>
      </c>
      <c r="AR31" s="845">
        <v>13</v>
      </c>
      <c r="AS31" s="845">
        <v>18</v>
      </c>
      <c r="AT31" s="845">
        <v>24.5</v>
      </c>
      <c r="AU31" s="845"/>
      <c r="AV31" s="845"/>
      <c r="AW31" s="846"/>
      <c r="AX31" s="857">
        <v>0.3</v>
      </c>
      <c r="AY31" s="858">
        <v>6.8</v>
      </c>
      <c r="AZ31" s="858">
        <v>13</v>
      </c>
      <c r="BA31" s="858">
        <v>18</v>
      </c>
      <c r="BB31" s="858">
        <v>24.5</v>
      </c>
      <c r="BC31" s="858">
        <v>0</v>
      </c>
      <c r="BD31" s="858">
        <v>0</v>
      </c>
      <c r="BE31" s="859">
        <v>0</v>
      </c>
      <c r="BF31" s="794">
        <f t="shared" si="77"/>
        <v>-1.4689214984490566E-2</v>
      </c>
      <c r="BG31" s="599">
        <f t="shared" si="78"/>
        <v>1.9239889047959915</v>
      </c>
      <c r="BH31" s="599">
        <f t="shared" si="79"/>
        <v>3.7731895728942972</v>
      </c>
      <c r="BI31" s="599">
        <f t="shared" si="80"/>
        <v>5.2644804342638984</v>
      </c>
      <c r="BJ31" s="599">
        <f t="shared" si="81"/>
        <v>7</v>
      </c>
      <c r="BK31" s="599">
        <f t="shared" si="82"/>
        <v>0</v>
      </c>
      <c r="BL31" s="599">
        <f t="shared" si="83"/>
        <v>0</v>
      </c>
      <c r="BM31" s="795">
        <f t="shared" si="84"/>
        <v>0</v>
      </c>
      <c r="BN31" s="802">
        <f t="shared" si="139"/>
        <v>1</v>
      </c>
      <c r="BO31" s="371">
        <f t="shared" ref="BO31:CD39" si="144">IF(VALUE(RIGHT(BO$3,2))&gt;MAX($BF31:$BM31)+1,"",SUMPRODUCT(($BF31:$BM31&gt;=VALUE((RIGHT(BO$3,2)-1)))*($BF31:$BM31&lt;VALUE((RIGHT(BO$3,2))))))</f>
        <v>1</v>
      </c>
      <c r="BP31" s="371">
        <f t="shared" si="144"/>
        <v>0</v>
      </c>
      <c r="BQ31" s="371">
        <f t="shared" si="144"/>
        <v>1</v>
      </c>
      <c r="BR31" s="371">
        <f t="shared" si="144"/>
        <v>0</v>
      </c>
      <c r="BS31" s="371">
        <f t="shared" si="144"/>
        <v>1</v>
      </c>
      <c r="BT31" s="371">
        <f t="shared" si="144"/>
        <v>0</v>
      </c>
      <c r="BU31" s="371">
        <f t="shared" si="144"/>
        <v>1</v>
      </c>
      <c r="BV31" s="371" t="str">
        <f t="shared" si="144"/>
        <v/>
      </c>
      <c r="BW31" s="371" t="str">
        <f t="shared" si="144"/>
        <v/>
      </c>
      <c r="BX31" s="371" t="str">
        <f t="shared" si="144"/>
        <v/>
      </c>
      <c r="BY31" s="371" t="str">
        <f t="shared" si="144"/>
        <v/>
      </c>
      <c r="BZ31" s="371" t="str">
        <f t="shared" si="144"/>
        <v/>
      </c>
      <c r="CA31" s="371" t="str">
        <f t="shared" si="144"/>
        <v/>
      </c>
      <c r="CB31" s="371" t="str">
        <f t="shared" si="144"/>
        <v/>
      </c>
      <c r="CC31" s="371" t="str">
        <f t="shared" si="144"/>
        <v/>
      </c>
      <c r="CD31" s="371" t="str">
        <f t="shared" si="144"/>
        <v/>
      </c>
      <c r="CE31" s="371" t="str">
        <f t="shared" si="141"/>
        <v/>
      </c>
      <c r="CF31" s="799" t="str">
        <f t="shared" si="142"/>
        <v/>
      </c>
      <c r="CG31" s="807" t="str">
        <f t="shared" si="88"/>
        <v>B, ML above</v>
      </c>
      <c r="CH31" s="595" t="str">
        <f t="shared" si="89"/>
        <v>p-thru</v>
      </c>
      <c r="CI31" s="595" t="str">
        <f t="shared" si="90"/>
        <v>ML</v>
      </c>
      <c r="CJ31" s="595" t="str">
        <f t="shared" si="91"/>
        <v>p-thru</v>
      </c>
      <c r="CK31" s="595" t="str">
        <f t="shared" si="92"/>
        <v>ML</v>
      </c>
      <c r="CL31" s="595" t="str">
        <f t="shared" si="93"/>
        <v>p-thru</v>
      </c>
      <c r="CM31" s="595" t="str">
        <f t="shared" si="94"/>
        <v>TOP</v>
      </c>
      <c r="CN31" s="595" t="str">
        <f t="shared" si="95"/>
        <v/>
      </c>
      <c r="CO31" s="595" t="str">
        <f t="shared" si="96"/>
        <v/>
      </c>
      <c r="CP31" s="595" t="str">
        <f t="shared" si="97"/>
        <v/>
      </c>
      <c r="CQ31" s="595" t="str">
        <f t="shared" si="98"/>
        <v/>
      </c>
      <c r="CR31" s="595" t="str">
        <f t="shared" si="99"/>
        <v/>
      </c>
      <c r="CS31" s="595" t="str">
        <f t="shared" si="100"/>
        <v/>
      </c>
      <c r="CT31" s="595" t="str">
        <f t="shared" si="101"/>
        <v/>
      </c>
      <c r="CU31" s="595" t="str">
        <f t="shared" si="102"/>
        <v/>
      </c>
      <c r="CV31" s="595" t="str">
        <f t="shared" si="103"/>
        <v/>
      </c>
      <c r="CW31" s="595" t="str">
        <f t="shared" si="104"/>
        <v/>
      </c>
      <c r="CX31" s="808" t="str">
        <f t="shared" si="105"/>
        <v/>
      </c>
      <c r="CY31" s="816">
        <f>IF(VLOOKUP(A31,'TIS Site Config'!$A$4:$AQ$51,6,FALSE)="Non-heated",COUNTIF($CG31:$CX31,$DT$3),0)</f>
        <v>0</v>
      </c>
      <c r="CZ31" s="596">
        <f>IF(OR(VLOOKUP(A31,'TIS Site Config'!$A$4:$AQ$51,6,FALSE)="Heated",VLOOKUP(A31,'TIS Site Config'!$A$4:$AQ$51,6,FALSE)="Extreme Heated"),COUNTIF($CG31:$CX31,$DT$3),0)</f>
        <v>0</v>
      </c>
      <c r="DA31" s="596">
        <f>IF(VLOOKUP(A31,'TIS Site Config'!$A$4:$AQ$51,6,FALSE)="Non-heated",COUNTIF($CG31:$CX31,$DU$3),0)</f>
        <v>0</v>
      </c>
      <c r="DB31" s="596">
        <f>IF(OR(VLOOKUP(A31,'TIS Site Config'!$A$4:$AQ$51,6,FALSE)="Heated",VLOOKUP(A31,'TIS Site Config'!$A$4:$AQ$51,6,FALSE)="Extreme heated"),COUNTIF($CG31:$CX31,$DU$3),0)</f>
        <v>1</v>
      </c>
      <c r="DC31" s="596">
        <f>IF(VLOOKUP(A31,'TIS Site Config'!$A$4:$AQ$51,6,FALSE)="Non-heated",COUNTIF($CG31:$CX31,$DW$3),0)</f>
        <v>0</v>
      </c>
      <c r="DD31" s="596">
        <f>IF(OR(VLOOKUP(A31,'TIS Site Config'!$A$4:$AQ$51,6,FALSE)="Heated",VLOOKUP(A31,'TIS Site Config'!$A$4:$AQ$51,6,FALSE)="Extreme heated"),COUNTIF($CG31:$CX31,$DW$3),0)</f>
        <v>2</v>
      </c>
      <c r="DE31" s="596">
        <f t="shared" si="132"/>
        <v>3</v>
      </c>
      <c r="DF31" s="596">
        <f>IF(VLOOKUP(A31,'TIS Site Config'!$A$4:$AQ$51,6,FALSE)="Non-heated",COUNTIF($CG31:$CX31,$DX$3),0)</f>
        <v>0</v>
      </c>
      <c r="DG31" s="596">
        <f>IF(OR(VLOOKUP(A31,'TIS Site Config'!$A$4:$AQ$51,6,FALSE)="Heated",VLOOKUP(A31,'TIS Site Config'!$A$4:$AQ$51,6,FALSE)="Extreme heated"),COUNTIF($CG31:$CX31,$DX$3),0)</f>
        <v>1</v>
      </c>
      <c r="DH31" s="817"/>
      <c r="DI31" s="791">
        <f t="shared" si="133"/>
        <v>3</v>
      </c>
      <c r="DJ31" s="365">
        <f t="shared" si="134"/>
        <v>1</v>
      </c>
      <c r="DK31" s="365">
        <f t="shared" si="135"/>
        <v>0</v>
      </c>
      <c r="DL31" s="376">
        <v>1</v>
      </c>
      <c r="DM31" s="609">
        <f t="shared" si="106"/>
        <v>5</v>
      </c>
      <c r="DN31" s="883">
        <f t="shared" si="136"/>
        <v>0</v>
      </c>
      <c r="DO31" s="593">
        <f t="shared" si="107"/>
        <v>2</v>
      </c>
      <c r="DP31" s="593">
        <f t="shared" si="108"/>
        <v>4</v>
      </c>
      <c r="DR31" s="504">
        <f t="shared" si="109"/>
        <v>2</v>
      </c>
      <c r="DS31" s="504">
        <f t="shared" si="110"/>
        <v>2</v>
      </c>
      <c r="DT31" s="504">
        <f t="shared" si="111"/>
        <v>3</v>
      </c>
      <c r="DZ31" s="794">
        <f t="shared" si="137"/>
        <v>-1.4689214984490566E-2</v>
      </c>
      <c r="EA31" s="599">
        <f t="shared" si="112"/>
        <v>1.9239889047959915</v>
      </c>
      <c r="EB31" s="599">
        <f t="shared" si="113"/>
        <v>3.7731895728942972</v>
      </c>
      <c r="EC31" s="599">
        <f t="shared" si="114"/>
        <v>5.2644804342638984</v>
      </c>
      <c r="ED31" s="599">
        <f t="shared" si="115"/>
        <v>7</v>
      </c>
      <c r="EE31" s="599">
        <f t="shared" si="116"/>
        <v>100</v>
      </c>
      <c r="EF31" s="599">
        <f t="shared" si="117"/>
        <v>100</v>
      </c>
      <c r="EG31" s="795">
        <f t="shared" si="118"/>
        <v>100</v>
      </c>
      <c r="EH31" s="1054">
        <f t="shared" si="119"/>
        <v>100</v>
      </c>
      <c r="EI31" s="1054">
        <f t="shared" si="120"/>
        <v>100</v>
      </c>
      <c r="EJ31" s="1054">
        <f t="shared" si="121"/>
        <v>100</v>
      </c>
      <c r="EK31" s="1054">
        <f t="shared" si="122"/>
        <v>7</v>
      </c>
      <c r="EL31" s="1054">
        <f t="shared" si="123"/>
        <v>5.2644804342638984</v>
      </c>
      <c r="EM31" s="1054">
        <f t="shared" si="124"/>
        <v>3.7731895728942972</v>
      </c>
      <c r="EN31" s="1054">
        <f t="shared" si="125"/>
        <v>1.9239889047959915</v>
      </c>
      <c r="EO31" s="1054">
        <f t="shared" si="126"/>
        <v>-1.4689214984490566E-2</v>
      </c>
      <c r="EP31" s="1066" t="str">
        <f t="shared" si="127"/>
        <v>ML1.5</v>
      </c>
      <c r="EQ31" s="794"/>
      <c r="ER31" s="795" t="str">
        <f t="shared" si="128"/>
        <v>ML1</v>
      </c>
      <c r="ES31" s="795" t="str">
        <f t="shared" si="138"/>
        <v>ML4.5</v>
      </c>
    </row>
    <row r="32" spans="1:149" s="504" customFormat="1" x14ac:dyDescent="0.25">
      <c r="A32" s="584" t="s">
        <v>235</v>
      </c>
      <c r="B32" s="930" t="str">
        <f>VLOOKUP($A32,'TIS Site Config'!$A$3:$AQ$51,2,FALSE)</f>
        <v>D11</v>
      </c>
      <c r="C32" s="934" t="str">
        <f>IF(VLOOKUP($A32,'TIS Site Config'!$A$3:$AQ$51,3,FALSE)&lt;&gt;"",
              VLOOKUP($A32,'TIS Site Config'!$A$3:$AQ$51,3,FALSE),"")</f>
        <v/>
      </c>
      <c r="D32" s="931" t="str">
        <f>VLOOKUP($A32,'TIS Site Config'!$A$3:$AQ$51,4,FALSE)</f>
        <v xml:space="preserve">LBJ National Grassland </v>
      </c>
      <c r="E32" s="784">
        <f t="shared" si="129"/>
        <v>5</v>
      </c>
      <c r="F32" s="864"/>
      <c r="G32" s="821">
        <v>0.3</v>
      </c>
      <c r="H32" s="821">
        <v>4</v>
      </c>
      <c r="I32" s="821">
        <v>10</v>
      </c>
      <c r="J32" s="821">
        <v>16</v>
      </c>
      <c r="K32" s="821">
        <v>22</v>
      </c>
      <c r="L32" s="821"/>
      <c r="M32" s="821"/>
      <c r="N32" s="827"/>
      <c r="O32" s="613">
        <v>72</v>
      </c>
      <c r="P32" s="619" t="s">
        <v>138</v>
      </c>
      <c r="Q32" s="770">
        <f t="shared" si="130"/>
        <v>6</v>
      </c>
      <c r="R32" s="611">
        <v>1</v>
      </c>
      <c r="S32" s="611"/>
      <c r="T32" s="368" t="s">
        <v>203</v>
      </c>
      <c r="U32" s="368" t="s">
        <v>203</v>
      </c>
      <c r="V32" s="368" t="s">
        <v>203</v>
      </c>
      <c r="W32" s="368" t="s">
        <v>203</v>
      </c>
      <c r="X32" s="368" t="s">
        <v>203</v>
      </c>
      <c r="Y32" s="368" t="s">
        <v>203</v>
      </c>
      <c r="Z32" s="368"/>
      <c r="AA32" s="368"/>
      <c r="AB32" s="368"/>
      <c r="AC32" s="368"/>
      <c r="AD32" s="368"/>
      <c r="AE32" s="368"/>
      <c r="AF32" s="368"/>
      <c r="AG32" s="368"/>
      <c r="AH32" s="368"/>
      <c r="AI32" s="368"/>
      <c r="AJ32" s="368"/>
      <c r="AK32" s="602"/>
      <c r="AL32" s="820">
        <v>10.5</v>
      </c>
      <c r="AM32" s="773">
        <f t="shared" si="131"/>
        <v>33</v>
      </c>
      <c r="AN32" s="821"/>
      <c r="AO32" s="787">
        <f t="shared" ref="AO32:AO50" si="145">((IF(ISNUMBER(AN32),AN32,AM32))-1)/12</f>
        <v>2.6666666666666665</v>
      </c>
      <c r="AP32" s="838">
        <v>0.3</v>
      </c>
      <c r="AQ32" s="839">
        <v>4</v>
      </c>
      <c r="AR32" s="839">
        <v>10</v>
      </c>
      <c r="AS32" s="839">
        <v>16</v>
      </c>
      <c r="AT32" s="839">
        <v>22</v>
      </c>
      <c r="AU32" s="839"/>
      <c r="AV32" s="839"/>
      <c r="AW32" s="840"/>
      <c r="AX32" s="860">
        <v>0.3</v>
      </c>
      <c r="AY32" s="852">
        <v>4</v>
      </c>
      <c r="AZ32" s="852">
        <v>10</v>
      </c>
      <c r="BA32" s="852">
        <v>16</v>
      </c>
      <c r="BB32" s="852">
        <v>22</v>
      </c>
      <c r="BC32" s="852">
        <v>0</v>
      </c>
      <c r="BD32" s="852">
        <v>0</v>
      </c>
      <c r="BE32" s="853">
        <v>0</v>
      </c>
      <c r="BF32" s="835">
        <f t="shared" si="77"/>
        <v>-0.15294679074206632</v>
      </c>
      <c r="BG32" s="836">
        <f t="shared" si="78"/>
        <v>0.95060844667143884</v>
      </c>
      <c r="BH32" s="836">
        <f t="shared" si="79"/>
        <v>2.7401574803149606</v>
      </c>
      <c r="BI32" s="836">
        <f t="shared" si="80"/>
        <v>4.5297065139584829</v>
      </c>
      <c r="BJ32" s="836">
        <f t="shared" si="81"/>
        <v>6</v>
      </c>
      <c r="BK32" s="836">
        <f t="shared" si="82"/>
        <v>0</v>
      </c>
      <c r="BL32" s="836">
        <f t="shared" si="83"/>
        <v>0</v>
      </c>
      <c r="BM32" s="837">
        <f t="shared" si="84"/>
        <v>0</v>
      </c>
      <c r="BN32" s="800">
        <f t="shared" si="139"/>
        <v>2</v>
      </c>
      <c r="BO32" s="368">
        <f t="shared" si="144"/>
        <v>0</v>
      </c>
      <c r="BP32" s="369">
        <f t="shared" si="144"/>
        <v>1</v>
      </c>
      <c r="BQ32" s="369">
        <f t="shared" si="144"/>
        <v>0</v>
      </c>
      <c r="BR32" s="368">
        <f t="shared" si="144"/>
        <v>1</v>
      </c>
      <c r="BS32" s="368">
        <f t="shared" si="144"/>
        <v>0</v>
      </c>
      <c r="BT32" s="368">
        <f t="shared" si="144"/>
        <v>1</v>
      </c>
      <c r="BU32" s="368" t="str">
        <f t="shared" si="144"/>
        <v/>
      </c>
      <c r="BV32" s="368" t="str">
        <f t="shared" si="144"/>
        <v/>
      </c>
      <c r="BW32" s="368" t="str">
        <f t="shared" si="144"/>
        <v/>
      </c>
      <c r="BX32" s="368" t="str">
        <f t="shared" si="144"/>
        <v/>
      </c>
      <c r="BY32" s="368" t="str">
        <f t="shared" si="144"/>
        <v/>
      </c>
      <c r="BZ32" s="368" t="str">
        <f t="shared" si="144"/>
        <v/>
      </c>
      <c r="CA32" s="368" t="str">
        <f t="shared" si="144"/>
        <v/>
      </c>
      <c r="CB32" s="368" t="str">
        <f t="shared" si="144"/>
        <v/>
      </c>
      <c r="CC32" s="368" t="str">
        <f t="shared" si="144"/>
        <v/>
      </c>
      <c r="CD32" s="368" t="str">
        <f t="shared" si="144"/>
        <v/>
      </c>
      <c r="CE32" s="368" t="str">
        <f t="shared" si="141"/>
        <v/>
      </c>
      <c r="CF32" s="797" t="str">
        <f t="shared" si="142"/>
        <v/>
      </c>
      <c r="CG32" s="803" t="str">
        <f t="shared" si="88"/>
        <v>B, p-thru above</v>
      </c>
      <c r="CH32" s="591" t="str">
        <f t="shared" si="89"/>
        <v>ML</v>
      </c>
      <c r="CI32" s="591" t="str">
        <f t="shared" si="90"/>
        <v>p-thru</v>
      </c>
      <c r="CJ32" s="591" t="str">
        <f t="shared" si="91"/>
        <v>ML</v>
      </c>
      <c r="CK32" s="591" t="str">
        <f t="shared" si="92"/>
        <v>p-thru</v>
      </c>
      <c r="CL32" s="591" t="str">
        <f t="shared" si="93"/>
        <v>TOP</v>
      </c>
      <c r="CM32" s="591" t="str">
        <f t="shared" si="94"/>
        <v/>
      </c>
      <c r="CN32" s="591" t="str">
        <f t="shared" si="95"/>
        <v/>
      </c>
      <c r="CO32" s="591" t="str">
        <f t="shared" si="96"/>
        <v/>
      </c>
      <c r="CP32" s="591" t="str">
        <f t="shared" si="97"/>
        <v/>
      </c>
      <c r="CQ32" s="591" t="str">
        <f t="shared" si="98"/>
        <v/>
      </c>
      <c r="CR32" s="591" t="str">
        <f t="shared" si="99"/>
        <v/>
      </c>
      <c r="CS32" s="591" t="str">
        <f t="shared" si="100"/>
        <v/>
      </c>
      <c r="CT32" s="591" t="str">
        <f t="shared" si="101"/>
        <v/>
      </c>
      <c r="CU32" s="591" t="str">
        <f t="shared" si="102"/>
        <v/>
      </c>
      <c r="CV32" s="591" t="str">
        <f t="shared" si="103"/>
        <v/>
      </c>
      <c r="CW32" s="591" t="str">
        <f t="shared" si="104"/>
        <v/>
      </c>
      <c r="CX32" s="804" t="str">
        <f t="shared" si="105"/>
        <v/>
      </c>
      <c r="CY32" s="813">
        <f>IF(VLOOKUP(A32,'TIS Site Config'!$A$4:$AQ$51,6,FALSE)="Non-heated",COUNTIF($CG32:$CX32,$DT$3),0)</f>
        <v>0</v>
      </c>
      <c r="CZ32" s="592">
        <f>IF(OR(VLOOKUP(A32,'TIS Site Config'!$A$4:$AQ$51,6,FALSE)="Heated",VLOOKUP(A32,'TIS Site Config'!$A$4:$AQ$51,6,FALSE)="Extreme Heated"),COUNTIF($CG32:$CX32,$DT$3),0)</f>
        <v>1</v>
      </c>
      <c r="DA32" s="592">
        <f>IF(VLOOKUP(A32,'TIS Site Config'!$A$4:$AQ$51,6,FALSE)="Non-heated",COUNTIF($CG32:$CX32,$DU$3),0)</f>
        <v>0</v>
      </c>
      <c r="DB32" s="592">
        <f>IF(OR(VLOOKUP(A32,'TIS Site Config'!$A$4:$AQ$51,6,FALSE)="Heated",VLOOKUP(A32,'TIS Site Config'!$A$4:$AQ$51,6,FALSE)="Extreme heated"),COUNTIF($CG32:$CX32,$DU$3),0)</f>
        <v>0</v>
      </c>
      <c r="DC32" s="592">
        <f>IF(VLOOKUP(A32,'TIS Site Config'!$A$4:$AQ$51,6,FALSE)="Non-heated",COUNTIF($CG32:$CX32,$DW$3),0)</f>
        <v>0</v>
      </c>
      <c r="DD32" s="592">
        <f>IF(OR(VLOOKUP(A32,'TIS Site Config'!$A$4:$AQ$51,6,FALSE)="Heated",VLOOKUP(A32,'TIS Site Config'!$A$4:$AQ$51,6,FALSE)="Extreme heated"),COUNTIF($CG32:$CX32,$DW$3),0)</f>
        <v>2</v>
      </c>
      <c r="DE32" s="592">
        <f t="shared" si="132"/>
        <v>2</v>
      </c>
      <c r="DF32" s="592">
        <f>IF(VLOOKUP(A32,'TIS Site Config'!$A$4:$AQ$51,6,FALSE)="Non-heated",COUNTIF($CG32:$CX32,$DX$3),0)</f>
        <v>0</v>
      </c>
      <c r="DG32" s="592">
        <f>IF(OR(VLOOKUP(A32,'TIS Site Config'!$A$4:$AQ$51,6,FALSE)="Heated",VLOOKUP(A32,'TIS Site Config'!$A$4:$AQ$51,6,FALSE)="Extreme heated"),COUNTIF($CG32:$CX32,$DX$3),0)</f>
        <v>1</v>
      </c>
      <c r="DH32" s="814"/>
      <c r="DI32" s="810">
        <f t="shared" si="133"/>
        <v>0</v>
      </c>
      <c r="DJ32" s="355">
        <f t="shared" si="134"/>
        <v>0</v>
      </c>
      <c r="DK32" s="355">
        <f t="shared" si="135"/>
        <v>4</v>
      </c>
      <c r="DL32" s="603">
        <v>1</v>
      </c>
      <c r="DM32" s="604">
        <f t="shared" ref="DM32:DM50" si="146">SUM(DI32:DL32)</f>
        <v>5</v>
      </c>
      <c r="DN32" s="883">
        <f t="shared" si="136"/>
        <v>0</v>
      </c>
      <c r="DO32" s="593">
        <f t="shared" si="107"/>
        <v>1</v>
      </c>
      <c r="DP32" s="593">
        <f t="shared" si="108"/>
        <v>3</v>
      </c>
      <c r="DR32" s="504">
        <f t="shared" si="109"/>
        <v>6</v>
      </c>
      <c r="DS32" s="504">
        <f t="shared" si="110"/>
        <v>0</v>
      </c>
      <c r="DT32" s="504">
        <f t="shared" si="111"/>
        <v>0</v>
      </c>
      <c r="DZ32" s="835">
        <f t="shared" si="137"/>
        <v>-0.15294679074206632</v>
      </c>
      <c r="EA32" s="836">
        <f t="shared" si="112"/>
        <v>0.95060844667143884</v>
      </c>
      <c r="EB32" s="836">
        <f t="shared" si="113"/>
        <v>2.7401574803149606</v>
      </c>
      <c r="EC32" s="836">
        <f t="shared" si="114"/>
        <v>4.5297065139584829</v>
      </c>
      <c r="ED32" s="836">
        <f t="shared" si="115"/>
        <v>6</v>
      </c>
      <c r="EE32" s="836">
        <f t="shared" si="116"/>
        <v>100</v>
      </c>
      <c r="EF32" s="836">
        <f t="shared" si="117"/>
        <v>100</v>
      </c>
      <c r="EG32" s="837">
        <f t="shared" si="118"/>
        <v>100</v>
      </c>
      <c r="EH32" s="1053">
        <f t="shared" si="119"/>
        <v>100</v>
      </c>
      <c r="EI32" s="1053">
        <f t="shared" si="120"/>
        <v>100</v>
      </c>
      <c r="EJ32" s="1053">
        <f t="shared" si="121"/>
        <v>100</v>
      </c>
      <c r="EK32" s="1053">
        <f t="shared" si="122"/>
        <v>6</v>
      </c>
      <c r="EL32" s="1053">
        <f t="shared" si="123"/>
        <v>4.5297065139584829</v>
      </c>
      <c r="EM32" s="1053">
        <f t="shared" si="124"/>
        <v>2.7401574803149606</v>
      </c>
      <c r="EN32" s="1053">
        <f t="shared" si="125"/>
        <v>0.95060844667143884</v>
      </c>
      <c r="EO32" s="1053">
        <f t="shared" si="126"/>
        <v>-0.15294679074206632</v>
      </c>
      <c r="EP32" s="1067" t="str">
        <f t="shared" si="127"/>
        <v>ML2.5</v>
      </c>
      <c r="EQ32" s="835"/>
      <c r="ER32" s="837" t="str">
        <f t="shared" si="128"/>
        <v>ML1</v>
      </c>
      <c r="ES32" s="837" t="str">
        <f t="shared" si="138"/>
        <v>ML4.5</v>
      </c>
    </row>
    <row r="33" spans="1:149" s="504" customFormat="1" ht="15.75" thickBot="1" x14ac:dyDescent="0.3">
      <c r="A33" s="377" t="s">
        <v>220</v>
      </c>
      <c r="B33" s="761" t="str">
        <f>VLOOKUP($A33,'TIS Site Config'!$A$3:$AQ$51,2,FALSE)</f>
        <v>D11</v>
      </c>
      <c r="C33" s="751" t="str">
        <f>IF(VLOOKUP($A33,'TIS Site Config'!$A$3:$AQ$51,3,FALSE)&lt;&gt;"",
              VLOOKUP($A33,'TIS Site Config'!$A$3:$AQ$51,3,FALSE),"")</f>
        <v>A-FY14</v>
      </c>
      <c r="D33" s="933" t="str">
        <f>VLOOKUP($A33,'TIS Site Config'!$A$3:$AQ$51,4,FALSE)</f>
        <v>Klemme Range Research Station</v>
      </c>
      <c r="E33" s="786">
        <f t="shared" si="129"/>
        <v>4</v>
      </c>
      <c r="F33" s="866"/>
      <c r="G33" s="373">
        <v>0.3</v>
      </c>
      <c r="H33" s="373">
        <v>2</v>
      </c>
      <c r="I33" s="373">
        <v>4</v>
      </c>
      <c r="J33" s="373">
        <v>6</v>
      </c>
      <c r="K33" s="373"/>
      <c r="L33" s="373"/>
      <c r="M33" s="373"/>
      <c r="N33" s="374"/>
      <c r="O33" s="617">
        <v>26</v>
      </c>
      <c r="P33" s="618" t="s">
        <v>139</v>
      </c>
      <c r="Q33" s="772">
        <f t="shared" si="130"/>
        <v>2</v>
      </c>
      <c r="R33" s="620">
        <v>1</v>
      </c>
      <c r="S33" s="620"/>
      <c r="T33" s="371" t="s">
        <v>203</v>
      </c>
      <c r="U33" s="371" t="s">
        <v>203</v>
      </c>
      <c r="V33" s="371"/>
      <c r="W33" s="371"/>
      <c r="X33" s="371"/>
      <c r="Y33" s="371"/>
      <c r="Z33" s="371"/>
      <c r="AA33" s="371"/>
      <c r="AB33" s="371"/>
      <c r="AC33" s="371"/>
      <c r="AD33" s="371"/>
      <c r="AE33" s="371"/>
      <c r="AF33" s="371"/>
      <c r="AG33" s="371"/>
      <c r="AH33" s="371"/>
      <c r="AI33" s="371"/>
      <c r="AJ33" s="371"/>
      <c r="AK33" s="608"/>
      <c r="AL33" s="375">
        <v>9</v>
      </c>
      <c r="AM33" s="775">
        <f t="shared" si="131"/>
        <v>14</v>
      </c>
      <c r="AN33" s="373">
        <v>11.625</v>
      </c>
      <c r="AO33" s="789">
        <f t="shared" si="145"/>
        <v>0.88541666666666663</v>
      </c>
      <c r="AP33" s="844">
        <v>0.3</v>
      </c>
      <c r="AQ33" s="845">
        <v>2</v>
      </c>
      <c r="AR33" s="845">
        <v>4</v>
      </c>
      <c r="AS33" s="845">
        <v>6</v>
      </c>
      <c r="AT33" s="845"/>
      <c r="AU33" s="845"/>
      <c r="AV33" s="845"/>
      <c r="AW33" s="846"/>
      <c r="AX33" s="857">
        <v>0.3</v>
      </c>
      <c r="AY33" s="858">
        <v>2</v>
      </c>
      <c r="AZ33" s="858">
        <v>4</v>
      </c>
      <c r="BA33" s="858">
        <v>6</v>
      </c>
      <c r="BB33" s="858">
        <v>0</v>
      </c>
      <c r="BC33" s="858">
        <v>0</v>
      </c>
      <c r="BD33" s="858">
        <v>0</v>
      </c>
      <c r="BE33" s="859">
        <v>0</v>
      </c>
      <c r="BF33" s="794">
        <f t="shared" si="77"/>
        <v>8.9850274397518543E-3</v>
      </c>
      <c r="BG33" s="599">
        <f t="shared" si="78"/>
        <v>0.51602392030541633</v>
      </c>
      <c r="BH33" s="599">
        <f t="shared" si="79"/>
        <v>1.112540264853257</v>
      </c>
      <c r="BI33" s="599">
        <f t="shared" si="80"/>
        <v>2</v>
      </c>
      <c r="BJ33" s="599">
        <f t="shared" si="81"/>
        <v>0</v>
      </c>
      <c r="BK33" s="599">
        <f t="shared" si="82"/>
        <v>0</v>
      </c>
      <c r="BL33" s="599">
        <f t="shared" si="83"/>
        <v>0</v>
      </c>
      <c r="BM33" s="795">
        <f t="shared" si="84"/>
        <v>0</v>
      </c>
      <c r="BN33" s="802">
        <f t="shared" si="139"/>
        <v>2</v>
      </c>
      <c r="BO33" s="371">
        <f t="shared" si="144"/>
        <v>1</v>
      </c>
      <c r="BP33" s="371">
        <f t="shared" si="144"/>
        <v>1</v>
      </c>
      <c r="BQ33" s="371" t="str">
        <f t="shared" si="144"/>
        <v/>
      </c>
      <c r="BR33" s="371" t="str">
        <f t="shared" si="144"/>
        <v/>
      </c>
      <c r="BS33" s="371" t="str">
        <f t="shared" si="144"/>
        <v/>
      </c>
      <c r="BT33" s="371" t="str">
        <f t="shared" si="144"/>
        <v/>
      </c>
      <c r="BU33" s="371" t="str">
        <f t="shared" si="144"/>
        <v/>
      </c>
      <c r="BV33" s="371" t="str">
        <f t="shared" si="144"/>
        <v/>
      </c>
      <c r="BW33" s="371" t="str">
        <f t="shared" si="144"/>
        <v/>
      </c>
      <c r="BX33" s="371" t="str">
        <f t="shared" si="144"/>
        <v/>
      </c>
      <c r="BY33" s="371" t="str">
        <f t="shared" si="144"/>
        <v/>
      </c>
      <c r="BZ33" s="371" t="str">
        <f t="shared" si="144"/>
        <v/>
      </c>
      <c r="CA33" s="371" t="str">
        <f t="shared" si="144"/>
        <v/>
      </c>
      <c r="CB33" s="371" t="str">
        <f t="shared" si="144"/>
        <v/>
      </c>
      <c r="CC33" s="371" t="str">
        <f t="shared" si="144"/>
        <v/>
      </c>
      <c r="CD33" s="371" t="str">
        <f t="shared" si="144"/>
        <v/>
      </c>
      <c r="CE33" s="371" t="str">
        <f t="shared" si="141"/>
        <v/>
      </c>
      <c r="CF33" s="799" t="str">
        <f t="shared" si="142"/>
        <v/>
      </c>
      <c r="CG33" s="807" t="str">
        <f t="shared" si="88"/>
        <v>B, ML above</v>
      </c>
      <c r="CH33" s="595" t="str">
        <f t="shared" si="89"/>
        <v>TOP</v>
      </c>
      <c r="CI33" s="595" t="str">
        <f t="shared" si="90"/>
        <v/>
      </c>
      <c r="CJ33" s="595" t="str">
        <f t="shared" si="91"/>
        <v/>
      </c>
      <c r="CK33" s="595" t="str">
        <f t="shared" si="92"/>
        <v/>
      </c>
      <c r="CL33" s="595" t="str">
        <f t="shared" si="93"/>
        <v/>
      </c>
      <c r="CM33" s="595" t="str">
        <f t="shared" si="94"/>
        <v/>
      </c>
      <c r="CN33" s="595" t="str">
        <f t="shared" si="95"/>
        <v/>
      </c>
      <c r="CO33" s="595" t="str">
        <f t="shared" si="96"/>
        <v/>
      </c>
      <c r="CP33" s="595" t="str">
        <f t="shared" si="97"/>
        <v/>
      </c>
      <c r="CQ33" s="595" t="str">
        <f t="shared" si="98"/>
        <v/>
      </c>
      <c r="CR33" s="595" t="str">
        <f t="shared" si="99"/>
        <v/>
      </c>
      <c r="CS33" s="595" t="str">
        <f t="shared" si="100"/>
        <v/>
      </c>
      <c r="CT33" s="595" t="str">
        <f t="shared" si="101"/>
        <v/>
      </c>
      <c r="CU33" s="595" t="str">
        <f t="shared" si="102"/>
        <v/>
      </c>
      <c r="CV33" s="595" t="str">
        <f t="shared" si="103"/>
        <v/>
      </c>
      <c r="CW33" s="595" t="str">
        <f t="shared" si="104"/>
        <v/>
      </c>
      <c r="CX33" s="808" t="str">
        <f t="shared" si="105"/>
        <v/>
      </c>
      <c r="CY33" s="816">
        <f>IF(VLOOKUP(A33,'TIS Site Config'!$A$4:$AQ$51,6,FALSE)="Non-heated",COUNTIF($CG33:$CX33,$DT$3),0)</f>
        <v>0</v>
      </c>
      <c r="CZ33" s="596">
        <f>IF(OR(VLOOKUP(A33,'TIS Site Config'!$A$4:$AQ$51,6,FALSE)="Heated",VLOOKUP(A33,'TIS Site Config'!$A$4:$AQ$51,6,FALSE)="Extreme Heated"),COUNTIF($CG33:$CX33,$DT$3),0)</f>
        <v>0</v>
      </c>
      <c r="DA33" s="596">
        <f>IF(VLOOKUP(A33,'TIS Site Config'!$A$4:$AQ$51,6,FALSE)="Non-heated",COUNTIF($CG33:$CX33,$DU$3),0)</f>
        <v>0</v>
      </c>
      <c r="DB33" s="596">
        <f>IF(OR(VLOOKUP(A33,'TIS Site Config'!$A$4:$AQ$51,6,FALSE)="Heated",VLOOKUP(A33,'TIS Site Config'!$A$4:$AQ$51,6,FALSE)="Extreme heated"),COUNTIF($CG33:$CX33,$DU$3),0)</f>
        <v>1</v>
      </c>
      <c r="DC33" s="596">
        <f>IF(VLOOKUP(A33,'TIS Site Config'!$A$4:$AQ$51,6,FALSE)="Non-heated",COUNTIF($CG33:$CX33,$DW$3),0)</f>
        <v>0</v>
      </c>
      <c r="DD33" s="596">
        <f>IF(OR(VLOOKUP(A33,'TIS Site Config'!$A$4:$AQ$51,6,FALSE)="Heated",VLOOKUP(A33,'TIS Site Config'!$A$4:$AQ$51,6,FALSE)="Extreme heated"),COUNTIF($CG33:$CX33,$DW$3),0)</f>
        <v>0</v>
      </c>
      <c r="DE33" s="596">
        <f t="shared" si="132"/>
        <v>0</v>
      </c>
      <c r="DF33" s="596">
        <f>IF(VLOOKUP(A33,'TIS Site Config'!$A$4:$AQ$51,6,FALSE)="Non-heated",COUNTIF($CG33:$CX33,$DX$3),0)</f>
        <v>0</v>
      </c>
      <c r="DG33" s="596">
        <f>IF(OR(VLOOKUP(A33,'TIS Site Config'!$A$4:$AQ$51,6,FALSE)="Heated",VLOOKUP(A33,'TIS Site Config'!$A$4:$AQ$51,6,FALSE)="Extreme heated"),COUNTIF($CG33:$CX33,$DX$3),0)</f>
        <v>1</v>
      </c>
      <c r="DH33" s="817"/>
      <c r="DI33" s="791">
        <f t="shared" si="133"/>
        <v>0</v>
      </c>
      <c r="DJ33" s="365">
        <f t="shared" si="134"/>
        <v>0</v>
      </c>
      <c r="DK33" s="365">
        <f t="shared" si="135"/>
        <v>3</v>
      </c>
      <c r="DL33" s="376">
        <v>1</v>
      </c>
      <c r="DM33" s="609">
        <f t="shared" si="146"/>
        <v>4</v>
      </c>
      <c r="DN33" s="883">
        <f t="shared" si="136"/>
        <v>0</v>
      </c>
      <c r="DO33" s="593">
        <f t="shared" si="107"/>
        <v>1</v>
      </c>
      <c r="DP33" s="593">
        <f t="shared" si="108"/>
        <v>2</v>
      </c>
      <c r="DR33" s="504">
        <f t="shared" si="109"/>
        <v>2</v>
      </c>
      <c r="DS33" s="504">
        <f t="shared" si="110"/>
        <v>0</v>
      </c>
      <c r="DT33" s="504">
        <f t="shared" si="111"/>
        <v>0</v>
      </c>
      <c r="DZ33" s="794">
        <f t="shared" si="137"/>
        <v>8.9850274397518543E-3</v>
      </c>
      <c r="EA33" s="599">
        <f t="shared" si="112"/>
        <v>0.51602392030541633</v>
      </c>
      <c r="EB33" s="599">
        <f t="shared" si="113"/>
        <v>1.112540264853257</v>
      </c>
      <c r="EC33" s="599">
        <f t="shared" si="114"/>
        <v>2</v>
      </c>
      <c r="ED33" s="599">
        <f t="shared" si="115"/>
        <v>100</v>
      </c>
      <c r="EE33" s="599">
        <f t="shared" si="116"/>
        <v>100</v>
      </c>
      <c r="EF33" s="599">
        <f t="shared" si="117"/>
        <v>100</v>
      </c>
      <c r="EG33" s="795">
        <f t="shared" si="118"/>
        <v>100</v>
      </c>
      <c r="EH33" s="1054">
        <f t="shared" si="119"/>
        <v>100</v>
      </c>
      <c r="EI33" s="1054">
        <f t="shared" si="120"/>
        <v>100</v>
      </c>
      <c r="EJ33" s="1054">
        <f t="shared" si="121"/>
        <v>100</v>
      </c>
      <c r="EK33" s="1054">
        <f t="shared" si="122"/>
        <v>100</v>
      </c>
      <c r="EL33" s="1054">
        <f t="shared" si="123"/>
        <v>2</v>
      </c>
      <c r="EM33" s="1054">
        <f t="shared" si="124"/>
        <v>1.112540264853257</v>
      </c>
      <c r="EN33" s="1054">
        <f t="shared" si="125"/>
        <v>0.51602392030541633</v>
      </c>
      <c r="EO33" s="1054">
        <f t="shared" si="126"/>
        <v>8.9850274397518543E-3</v>
      </c>
      <c r="EP33" s="1066" t="str">
        <f t="shared" si="127"/>
        <v>ML3.5</v>
      </c>
      <c r="EQ33" s="794"/>
      <c r="ER33" s="795" t="e">
        <f t="shared" si="128"/>
        <v>#N/A</v>
      </c>
      <c r="ES33" s="795" t="str">
        <f t="shared" si="138"/>
        <v>ML3.5</v>
      </c>
    </row>
    <row r="34" spans="1:149" s="504" customFormat="1" ht="15.75" thickBot="1" x14ac:dyDescent="0.3">
      <c r="A34" s="1021" t="s">
        <v>236</v>
      </c>
      <c r="B34" s="1022" t="str">
        <f>VLOOKUP($A34,'TIS Site Config'!$A$3:$AQ$51,2,FALSE)</f>
        <v>D12</v>
      </c>
      <c r="C34" s="1023" t="str">
        <f>IF(VLOOKUP($A34,'TIS Site Config'!$A$3:$AQ$51,3,FALSE)&lt;&gt;"",
              VLOOKUP($A34,'TIS Site Config'!$A$3:$AQ$51,3,FALSE),"")</f>
        <v/>
      </c>
      <c r="D34" s="1024" t="str">
        <f>VLOOKUP($A34,'TIS Site Config'!$A$3:$AQ$51,4,FALSE)</f>
        <v>Yellowstone Northern Range (Frog Rock)</v>
      </c>
      <c r="E34" s="786">
        <f t="shared" si="129"/>
        <v>6</v>
      </c>
      <c r="F34" s="866"/>
      <c r="G34" s="373">
        <v>0.3</v>
      </c>
      <c r="H34" s="373">
        <v>1</v>
      </c>
      <c r="I34" s="373">
        <v>8</v>
      </c>
      <c r="J34" s="373">
        <v>14</v>
      </c>
      <c r="K34" s="373">
        <v>17</v>
      </c>
      <c r="L34" s="373">
        <v>20</v>
      </c>
      <c r="M34" s="373"/>
      <c r="N34" s="374"/>
      <c r="O34" s="617">
        <v>70</v>
      </c>
      <c r="P34" s="618" t="s">
        <v>139</v>
      </c>
      <c r="Q34" s="772">
        <f t="shared" si="130"/>
        <v>6</v>
      </c>
      <c r="R34" s="620">
        <v>1</v>
      </c>
      <c r="S34" s="620"/>
      <c r="T34" s="371" t="s">
        <v>205</v>
      </c>
      <c r="U34" s="371" t="s">
        <v>205</v>
      </c>
      <c r="V34" s="371" t="s">
        <v>204</v>
      </c>
      <c r="W34" s="371" t="s">
        <v>204</v>
      </c>
      <c r="X34" s="371" t="s">
        <v>203</v>
      </c>
      <c r="Y34" s="371" t="s">
        <v>203</v>
      </c>
      <c r="Z34" s="371"/>
      <c r="AA34" s="371"/>
      <c r="AB34" s="371"/>
      <c r="AC34" s="371"/>
      <c r="AD34" s="371"/>
      <c r="AE34" s="371"/>
      <c r="AF34" s="371"/>
      <c r="AG34" s="371"/>
      <c r="AH34" s="371"/>
      <c r="AI34" s="371"/>
      <c r="AJ34" s="371"/>
      <c r="AK34" s="608"/>
      <c r="AL34" s="375">
        <v>10.5</v>
      </c>
      <c r="AM34" s="775">
        <f t="shared" si="131"/>
        <v>15.5</v>
      </c>
      <c r="AN34" s="373"/>
      <c r="AO34" s="789">
        <f t="shared" si="145"/>
        <v>1.2083333333333333</v>
      </c>
      <c r="AP34" s="844">
        <v>0.3</v>
      </c>
      <c r="AQ34" s="845">
        <v>1</v>
      </c>
      <c r="AR34" s="845">
        <v>8</v>
      </c>
      <c r="AS34" s="845">
        <v>14</v>
      </c>
      <c r="AT34" s="845">
        <v>17</v>
      </c>
      <c r="AU34" s="845">
        <v>20</v>
      </c>
      <c r="AV34" s="845"/>
      <c r="AW34" s="846"/>
      <c r="AX34" s="857">
        <v>0.3</v>
      </c>
      <c r="AY34" s="858">
        <v>1</v>
      </c>
      <c r="AZ34" s="858">
        <v>8</v>
      </c>
      <c r="BA34" s="858">
        <v>14</v>
      </c>
      <c r="BB34" s="858">
        <v>17</v>
      </c>
      <c r="BC34" s="858">
        <v>20</v>
      </c>
      <c r="BD34" s="858">
        <v>0</v>
      </c>
      <c r="BE34" s="859">
        <v>0</v>
      </c>
      <c r="BF34" s="794">
        <f t="shared" ref="BF34:BF51" si="147">IF(AP34=0,0,IF(AP34=MAX($AP34:$AW34),$Q34,IF(ISNUMBER(AP34),(CONVERT(AP34,"m","ft")-$AO34)/11,"")))</f>
        <v>-2.0371033166308748E-2</v>
      </c>
      <c r="BG34" s="599">
        <f t="shared" ref="BG34:BG51" si="148">IF(AQ34=0,0,IF(AQ34=MAX($AP34:$AW34),$Q34,IF(ISNUMBER(AQ34),(CONVERT(AQ34,"m","ft")-$AO34)/11,"")))</f>
        <v>0.18840968742543548</v>
      </c>
      <c r="BH34" s="599">
        <f t="shared" ref="BH34:BH51" si="149">IF(AR34=0,0,IF(AR34=MAX($AP34:$AW34),$Q34,IF(ISNUMBER(AR34),(CONVERT(AR34,"m","ft")-$AO34)/11,"")))</f>
        <v>2.2762168933428777</v>
      </c>
      <c r="BI34" s="599">
        <f t="shared" ref="BI34:BI51" si="150">IF(AS34=0,0,IF(AS34=MAX($AP34:$AW34),$Q34,IF(ISNUMBER(AS34),(CONVERT(AS34,"m","ft")-$AO34)/11,"")))</f>
        <v>4.0657659269863995</v>
      </c>
      <c r="BJ34" s="599">
        <f t="shared" ref="BJ34:BJ51" si="151">IF(AT34=0,0,IF(AT34=MAX($AP34:$AW34),$Q34,IF(ISNUMBER(AT34),(CONVERT(AT34,"m","ft")-$AO34)/11,"")))</f>
        <v>4.9605404438081599</v>
      </c>
      <c r="BK34" s="599">
        <f t="shared" ref="BK34:BK51" si="152">IF(AU34=0,0,IF(AU34=MAX($AP34:$AW34),$Q34,IF(ISNUMBER(AU34),(CONVERT(AU34,"m","ft")-$AO34)/11,"")))</f>
        <v>6</v>
      </c>
      <c r="BL34" s="599">
        <f t="shared" ref="BL34:BL51" si="153">IF(AV34=0,0,IF(AV34=MAX($AP34:$AW34),$Q34,IF(ISNUMBER(AV34),(CONVERT(AV34,"m","ft")-$AO34)/11,"")))</f>
        <v>0</v>
      </c>
      <c r="BM34" s="795">
        <f t="shared" ref="BM34:BM51" si="154">IF(AW34=0,0,IF(AW34=MAX($AP34:$AW34),$Q34,IF(ISNUMBER(AW34),(CONVERT(AW34,"m","ft")-$AO34)/11,"")))</f>
        <v>0</v>
      </c>
      <c r="BN34" s="802">
        <f t="shared" si="139"/>
        <v>2</v>
      </c>
      <c r="BO34" s="371">
        <f t="shared" si="144"/>
        <v>0</v>
      </c>
      <c r="BP34" s="371">
        <f t="shared" si="144"/>
        <v>1</v>
      </c>
      <c r="BQ34" s="371">
        <f t="shared" si="144"/>
        <v>0</v>
      </c>
      <c r="BR34" s="371">
        <f t="shared" si="144"/>
        <v>2</v>
      </c>
      <c r="BS34" s="371">
        <f t="shared" si="144"/>
        <v>0</v>
      </c>
      <c r="BT34" s="371">
        <f t="shared" si="144"/>
        <v>1</v>
      </c>
      <c r="BU34" s="371" t="str">
        <f t="shared" si="144"/>
        <v/>
      </c>
      <c r="BV34" s="371" t="str">
        <f t="shared" si="144"/>
        <v/>
      </c>
      <c r="BW34" s="371" t="str">
        <f t="shared" si="144"/>
        <v/>
      </c>
      <c r="BX34" s="371" t="str">
        <f t="shared" si="144"/>
        <v/>
      </c>
      <c r="BY34" s="371" t="str">
        <f t="shared" si="144"/>
        <v/>
      </c>
      <c r="BZ34" s="371" t="str">
        <f t="shared" si="144"/>
        <v/>
      </c>
      <c r="CA34" s="371" t="str">
        <f t="shared" si="144"/>
        <v/>
      </c>
      <c r="CB34" s="371" t="str">
        <f t="shared" si="144"/>
        <v/>
      </c>
      <c r="CC34" s="371" t="str">
        <f t="shared" si="144"/>
        <v/>
      </c>
      <c r="CD34" s="371" t="str">
        <f t="shared" si="144"/>
        <v/>
      </c>
      <c r="CE34" s="371" t="str">
        <f t="shared" ref="CE34:CE39" si="155">IF(VALUE(RIGHT(CE$3,2))&gt;MAX($BF34:$BM34)+1,"",SUMPRODUCT(($BF34:$BM34&gt;=VALUE((RIGHT(CE$3,2)-1)))*($BF34:$BM34&lt;VALUE((RIGHT(CE$3,2))))))</f>
        <v/>
      </c>
      <c r="CF34" s="799" t="str">
        <f t="shared" si="142"/>
        <v/>
      </c>
      <c r="CG34" s="807" t="str">
        <f t="shared" ref="CG34:CG51" si="156">IF(BN34&gt;2,$DU$3,IF(BO34&gt;0,$DU$3,$DT$3))</f>
        <v>B, p-thru above</v>
      </c>
      <c r="CH34" s="595" t="str">
        <f t="shared" ref="CH34:CH50" si="157">IF(BP34="","",IF(BQ34="",$DX$3,IF(BO34&gt;1,$DW$3,IF(BP34&gt;0,$DW$3,$DV$3))))</f>
        <v>ML</v>
      </c>
      <c r="CI34" s="595" t="str">
        <f t="shared" ref="CI34:CI50" si="158">IF(BQ34="","",IF(BR34="",$DX$3,IF(BP34&gt;1,$DW$3,IF(BQ34&gt;0,$DW$3,$DV$3))))</f>
        <v>p-thru</v>
      </c>
      <c r="CJ34" s="595" t="str">
        <f t="shared" ref="CJ34:CJ50" si="159">IF(BR34="","",IF(BS34="",$DX$3,IF(BQ34&gt;1,$DW$3,IF(BR34&gt;0,$DW$3,$DV$3))))</f>
        <v>ML</v>
      </c>
      <c r="CK34" s="595" t="str">
        <f t="shared" ref="CK34:CK50" si="160">IF(BS34="","",IF(BT34="",$DX$3,IF(BR34&gt;1,$DW$3,IF(BS34&gt;0,$DW$3,$DV$3))))</f>
        <v>ML</v>
      </c>
      <c r="CL34" s="595" t="str">
        <f t="shared" ref="CL34:CL50" si="161">IF(BT34="","",IF(BU34="",$DX$3,IF(BS34&gt;1,$DW$3,IF(BT34&gt;0,$DW$3,$DV$3))))</f>
        <v>TOP</v>
      </c>
      <c r="CM34" s="595" t="str">
        <f t="shared" ref="CM34:CM50" si="162">IF(BU34="","",IF(BV34="",$DX$3,IF(BT34&gt;1,$DW$3,IF(BU34&gt;0,$DW$3,$DV$3))))</f>
        <v/>
      </c>
      <c r="CN34" s="595" t="str">
        <f t="shared" ref="CN34:CN50" si="163">IF(BV34="","",IF(BW34="",$DX$3,IF(BU34&gt;1,$DW$3,IF(BV34&gt;0,$DW$3,$DV$3))))</f>
        <v/>
      </c>
      <c r="CO34" s="595" t="str">
        <f t="shared" ref="CO34:CO50" si="164">IF(BW34="","",IF(BX34="",$DX$3,IF(BV34&gt;1,$DW$3,IF(BW34&gt;0,$DW$3,$DV$3))))</f>
        <v/>
      </c>
      <c r="CP34" s="595" t="str">
        <f t="shared" ref="CP34:CP50" si="165">IF(BX34="","",IF(BY34="",$DX$3,IF(BW34&gt;1,$DW$3,IF(BX34&gt;0,$DW$3,$DV$3))))</f>
        <v/>
      </c>
      <c r="CQ34" s="595" t="str">
        <f t="shared" ref="CQ34:CQ50" si="166">IF(BY34="","",IF(BZ34="",$DX$3,IF(BX34&gt;1,$DW$3,IF(BY34&gt;0,$DW$3,$DV$3))))</f>
        <v/>
      </c>
      <c r="CR34" s="595" t="str">
        <f t="shared" ref="CR34:CR50" si="167">IF(BZ34="","",IF(CA34="",$DX$3,IF(BY34&gt;1,$DW$3,IF(BZ34&gt;0,$DW$3,$DV$3))))</f>
        <v/>
      </c>
      <c r="CS34" s="595" t="str">
        <f t="shared" ref="CS34:CS50" si="168">IF(CA34="","",IF(CB34="",$DX$3,IF(BZ34&gt;1,$DW$3,IF(CA34&gt;0,$DW$3,$DV$3))))</f>
        <v/>
      </c>
      <c r="CT34" s="595" t="str">
        <f t="shared" ref="CT34:CT50" si="169">IF(CB34="","",IF(CC34="",$DX$3,IF(CA34&gt;1,$DW$3,IF(CB34&gt;0,$DW$3,$DV$3))))</f>
        <v/>
      </c>
      <c r="CU34" s="595" t="str">
        <f t="shared" ref="CU34:CU50" si="170">IF(CC34="","",IF(CD34="",$DX$3,IF(CB34&gt;1,$DW$3,IF(CC34&gt;0,$DW$3,$DV$3))))</f>
        <v/>
      </c>
      <c r="CV34" s="595" t="str">
        <f t="shared" ref="CV34:CV50" si="171">IF(CD34="","",IF(CE34="",$DX$3,IF(CC34&gt;1,$DW$3,IF(CD34&gt;0,$DW$3,$DV$3))))</f>
        <v/>
      </c>
      <c r="CW34" s="595" t="str">
        <f t="shared" ref="CW34:CW50" si="172">IF(CE34="","",IF(CF34="",$DX$3,IF(CD34&gt;1,$DW$3,IF(CE34&gt;0,$DW$3,$DV$3))))</f>
        <v/>
      </c>
      <c r="CX34" s="808" t="str">
        <f t="shared" ref="CX34:CX51" si="173">IF(CF34="","",IF(CG34="",$DX$3,IF(CE34&gt;1,$DX$3,IF(CF34&gt;0,$DX$3,$DV$3))))</f>
        <v/>
      </c>
      <c r="CY34" s="816">
        <f>IF(VLOOKUP(A34,'TIS Site Config'!$A$4:$AQ$51,6,FALSE)="Non-heated",COUNTIF($CG34:$CX34,$DT$3),0)</f>
        <v>0</v>
      </c>
      <c r="CZ34" s="596">
        <f>IF(OR(VLOOKUP(A34,'TIS Site Config'!$A$4:$AQ$51,6,FALSE)="Heated",VLOOKUP(A34,'TIS Site Config'!$A$4:$AQ$51,6,FALSE)="Extreme Heated"),COUNTIF($CG34:$CX34,$DT$3),0)</f>
        <v>1</v>
      </c>
      <c r="DA34" s="596">
        <f>IF(VLOOKUP(A34,'TIS Site Config'!$A$4:$AQ$51,6,FALSE)="Non-heated",COUNTIF($CG34:$CX34,$DU$3),0)</f>
        <v>0</v>
      </c>
      <c r="DB34" s="596">
        <f>IF(OR(VLOOKUP(A34,'TIS Site Config'!$A$4:$AQ$51,6,FALSE)="Heated",VLOOKUP(A34,'TIS Site Config'!$A$4:$AQ$51,6,FALSE)="Extreme heated"),COUNTIF($CG34:$CX34,$DU$3),0)</f>
        <v>0</v>
      </c>
      <c r="DC34" s="596">
        <f>IF(VLOOKUP(A34,'TIS Site Config'!$A$4:$AQ$51,6,FALSE)="Non-heated",COUNTIF($CG34:$CX34,$DW$3),0)</f>
        <v>0</v>
      </c>
      <c r="DD34" s="596">
        <f>IF(OR(VLOOKUP(A34,'TIS Site Config'!$A$4:$AQ$51,6,FALSE)="Heated",VLOOKUP(A34,'TIS Site Config'!$A$4:$AQ$51,6,FALSE)="Extreme heated"),COUNTIF($CG34:$CX34,$DW$3),0)</f>
        <v>3</v>
      </c>
      <c r="DE34" s="596">
        <f t="shared" si="132"/>
        <v>1</v>
      </c>
      <c r="DF34" s="596">
        <f>IF(VLOOKUP(A34,'TIS Site Config'!$A$4:$AQ$51,6,FALSE)="Non-heated",COUNTIF($CG34:$CX34,$DX$3),0)</f>
        <v>0</v>
      </c>
      <c r="DG34" s="596">
        <f>IF(OR(VLOOKUP(A34,'TIS Site Config'!$A$4:$AQ$51,6,FALSE)="Heated",VLOOKUP(A34,'TIS Site Config'!$A$4:$AQ$51,6,FALSE)="Extreme heated"),COUNTIF($CG34:$CX34,$DX$3),0)</f>
        <v>1</v>
      </c>
      <c r="DH34" s="817"/>
      <c r="DI34" s="791">
        <f t="shared" si="133"/>
        <v>3</v>
      </c>
      <c r="DJ34" s="365">
        <f t="shared" si="134"/>
        <v>2</v>
      </c>
      <c r="DK34" s="365">
        <f t="shared" si="135"/>
        <v>0</v>
      </c>
      <c r="DL34" s="376">
        <v>1</v>
      </c>
      <c r="DM34" s="609">
        <f t="shared" si="146"/>
        <v>6</v>
      </c>
      <c r="DN34" s="883">
        <f t="shared" si="136"/>
        <v>0</v>
      </c>
      <c r="DO34" s="593">
        <f t="shared" ref="DO34:DO50" si="174">MAX(ROUNDDOWN(BG34+1,0),1)</f>
        <v>1</v>
      </c>
      <c r="DP34" s="593">
        <f t="shared" ref="DP34:DP50" si="175">MAX(ROUNDDOWN(BH34+1,0),1)</f>
        <v>3</v>
      </c>
      <c r="DR34" s="504">
        <f t="shared" ref="DR34:DR50" si="176">COUNTIF(T34:AK34,"Standard")</f>
        <v>2</v>
      </c>
      <c r="DS34" s="504">
        <f t="shared" ref="DS34:DS50" si="177">COUNTIF(T34:AK34,"Heavy")</f>
        <v>2</v>
      </c>
      <c r="DT34" s="504">
        <f t="shared" ref="DT34:DT50" si="178">COUNTIF(T34:AK34,"Extreme")</f>
        <v>2</v>
      </c>
      <c r="DZ34" s="794">
        <f t="shared" si="137"/>
        <v>-2.0371033166308748E-2</v>
      </c>
      <c r="EA34" s="599">
        <f t="shared" si="112"/>
        <v>0.18840968742543548</v>
      </c>
      <c r="EB34" s="599">
        <f t="shared" si="113"/>
        <v>2.2762168933428777</v>
      </c>
      <c r="EC34" s="599">
        <f t="shared" si="114"/>
        <v>4.0657659269863995</v>
      </c>
      <c r="ED34" s="599">
        <f t="shared" si="115"/>
        <v>4.9605404438081599</v>
      </c>
      <c r="EE34" s="599">
        <f t="shared" si="116"/>
        <v>6</v>
      </c>
      <c r="EF34" s="599">
        <f t="shared" si="117"/>
        <v>100</v>
      </c>
      <c r="EG34" s="795">
        <f t="shared" si="118"/>
        <v>100</v>
      </c>
      <c r="EH34" s="1054">
        <f t="shared" si="119"/>
        <v>100</v>
      </c>
      <c r="EI34" s="1054">
        <f t="shared" si="120"/>
        <v>100</v>
      </c>
      <c r="EJ34" s="1054">
        <f t="shared" si="121"/>
        <v>6</v>
      </c>
      <c r="EK34" s="1054">
        <f t="shared" si="122"/>
        <v>4.9605404438081599</v>
      </c>
      <c r="EL34" s="1054">
        <f t="shared" si="123"/>
        <v>4.0657659269863995</v>
      </c>
      <c r="EM34" s="1054">
        <f t="shared" si="124"/>
        <v>2.2762168933428777</v>
      </c>
      <c r="EN34" s="1054">
        <f t="shared" si="125"/>
        <v>0.18840968742543548</v>
      </c>
      <c r="EO34" s="1054">
        <f t="shared" si="126"/>
        <v>-2.0371033166308748E-2</v>
      </c>
      <c r="EP34" s="1070" t="str">
        <f t="shared" si="127"/>
        <v>ML2.5</v>
      </c>
      <c r="EQ34" s="794"/>
      <c r="ER34" s="795" t="str">
        <f t="shared" si="128"/>
        <v>ML1</v>
      </c>
      <c r="ES34" s="795" t="str">
        <f t="shared" si="138"/>
        <v>ML5.5</v>
      </c>
    </row>
    <row r="35" spans="1:149" s="504" customFormat="1" x14ac:dyDescent="0.25">
      <c r="A35" s="584" t="s">
        <v>237</v>
      </c>
      <c r="B35" s="930" t="str">
        <f>VLOOKUP($A35,'TIS Site Config'!$A$3:$AQ$51,2,FALSE)</f>
        <v>D13</v>
      </c>
      <c r="C35" s="934" t="str">
        <f>IF(VLOOKUP($A35,'TIS Site Config'!$A$3:$AQ$51,3,FALSE)&lt;&gt;"",
              VLOOKUP($A35,'TIS Site Config'!$A$3:$AQ$51,3,FALSE),"")</f>
        <v/>
      </c>
      <c r="D35" s="931" t="str">
        <f>VLOOKUP($A35,'TIS Site Config'!$A$3:$AQ$51,4,FALSE)</f>
        <v>Niwot Ridge Mountain Research Station</v>
      </c>
      <c r="E35" s="784">
        <f t="shared" si="129"/>
        <v>4</v>
      </c>
      <c r="F35" s="864"/>
      <c r="G35" s="821">
        <v>0.2</v>
      </c>
      <c r="H35" s="821">
        <v>1</v>
      </c>
      <c r="I35" s="821">
        <v>4</v>
      </c>
      <c r="J35" s="821">
        <v>6</v>
      </c>
      <c r="K35" s="821"/>
      <c r="L35" s="821"/>
      <c r="M35" s="821"/>
      <c r="N35" s="827"/>
      <c r="O35" s="613">
        <v>26</v>
      </c>
      <c r="P35" s="619" t="s">
        <v>139</v>
      </c>
      <c r="Q35" s="770">
        <f t="shared" si="130"/>
        <v>2</v>
      </c>
      <c r="R35" s="611">
        <v>1</v>
      </c>
      <c r="S35" s="611"/>
      <c r="T35" s="368" t="s">
        <v>205</v>
      </c>
      <c r="U35" s="368" t="s">
        <v>204</v>
      </c>
      <c r="V35" s="368"/>
      <c r="W35" s="368"/>
      <c r="X35" s="368"/>
      <c r="Y35" s="368"/>
      <c r="Z35" s="368"/>
      <c r="AA35" s="368"/>
      <c r="AB35" s="368"/>
      <c r="AC35" s="368"/>
      <c r="AD35" s="368"/>
      <c r="AE35" s="368"/>
      <c r="AF35" s="368"/>
      <c r="AG35" s="368"/>
      <c r="AH35" s="368"/>
      <c r="AI35" s="368"/>
      <c r="AJ35" s="368"/>
      <c r="AK35" s="602"/>
      <c r="AL35" s="819">
        <v>10.5</v>
      </c>
      <c r="AM35" s="773">
        <f t="shared" si="131"/>
        <v>15.5</v>
      </c>
      <c r="AN35" s="821"/>
      <c r="AO35" s="787">
        <f t="shared" si="145"/>
        <v>1.2083333333333333</v>
      </c>
      <c r="AP35" s="838">
        <v>0.2</v>
      </c>
      <c r="AQ35" s="839">
        <v>1</v>
      </c>
      <c r="AR35" s="839">
        <v>4</v>
      </c>
      <c r="AS35" s="839">
        <v>6</v>
      </c>
      <c r="AT35" s="839"/>
      <c r="AU35" s="839"/>
      <c r="AV35" s="839"/>
      <c r="AW35" s="840"/>
      <c r="AX35" s="860">
        <v>0.2</v>
      </c>
      <c r="AY35" s="852">
        <v>1</v>
      </c>
      <c r="AZ35" s="852">
        <v>4</v>
      </c>
      <c r="BA35" s="852">
        <v>6</v>
      </c>
      <c r="BB35" s="852">
        <v>0</v>
      </c>
      <c r="BC35" s="852">
        <v>0</v>
      </c>
      <c r="BD35" s="852">
        <v>0</v>
      </c>
      <c r="BE35" s="853">
        <v>0</v>
      </c>
      <c r="BF35" s="835">
        <f t="shared" si="147"/>
        <v>-5.0196850393700782E-2</v>
      </c>
      <c r="BG35" s="836">
        <f t="shared" si="148"/>
        <v>0.18840968742543548</v>
      </c>
      <c r="BH35" s="836">
        <f t="shared" si="149"/>
        <v>1.0831842042471964</v>
      </c>
      <c r="BI35" s="836">
        <f t="shared" si="150"/>
        <v>2</v>
      </c>
      <c r="BJ35" s="836">
        <f t="shared" si="151"/>
        <v>0</v>
      </c>
      <c r="BK35" s="836">
        <f t="shared" si="152"/>
        <v>0</v>
      </c>
      <c r="BL35" s="836">
        <f t="shared" si="153"/>
        <v>0</v>
      </c>
      <c r="BM35" s="837">
        <f t="shared" si="154"/>
        <v>0</v>
      </c>
      <c r="BN35" s="800">
        <f t="shared" si="139"/>
        <v>2</v>
      </c>
      <c r="BO35" s="368">
        <f t="shared" si="144"/>
        <v>1</v>
      </c>
      <c r="BP35" s="368">
        <f t="shared" si="144"/>
        <v>1</v>
      </c>
      <c r="BQ35" s="368" t="str">
        <f t="shared" si="144"/>
        <v/>
      </c>
      <c r="BR35" s="368" t="str">
        <f t="shared" si="144"/>
        <v/>
      </c>
      <c r="BS35" s="368" t="str">
        <f t="shared" si="144"/>
        <v/>
      </c>
      <c r="BT35" s="368" t="str">
        <f t="shared" si="144"/>
        <v/>
      </c>
      <c r="BU35" s="368" t="str">
        <f t="shared" si="144"/>
        <v/>
      </c>
      <c r="BV35" s="368" t="str">
        <f t="shared" si="144"/>
        <v/>
      </c>
      <c r="BW35" s="368" t="str">
        <f t="shared" si="144"/>
        <v/>
      </c>
      <c r="BX35" s="368" t="str">
        <f t="shared" si="144"/>
        <v/>
      </c>
      <c r="BY35" s="368" t="str">
        <f t="shared" si="144"/>
        <v/>
      </c>
      <c r="BZ35" s="368" t="str">
        <f t="shared" si="144"/>
        <v/>
      </c>
      <c r="CA35" s="368" t="str">
        <f t="shared" si="144"/>
        <v/>
      </c>
      <c r="CB35" s="368" t="str">
        <f t="shared" si="144"/>
        <v/>
      </c>
      <c r="CC35" s="368" t="str">
        <f t="shared" si="144"/>
        <v/>
      </c>
      <c r="CD35" s="368" t="str">
        <f t="shared" si="144"/>
        <v/>
      </c>
      <c r="CE35" s="368" t="str">
        <f t="shared" si="155"/>
        <v/>
      </c>
      <c r="CF35" s="797" t="str">
        <f t="shared" si="142"/>
        <v/>
      </c>
      <c r="CG35" s="803" t="str">
        <f t="shared" si="156"/>
        <v>B, ML above</v>
      </c>
      <c r="CH35" s="591" t="str">
        <f t="shared" si="157"/>
        <v>TOP</v>
      </c>
      <c r="CI35" s="591" t="str">
        <f t="shared" si="158"/>
        <v/>
      </c>
      <c r="CJ35" s="591" t="str">
        <f t="shared" si="159"/>
        <v/>
      </c>
      <c r="CK35" s="591" t="str">
        <f t="shared" si="160"/>
        <v/>
      </c>
      <c r="CL35" s="591" t="str">
        <f t="shared" si="161"/>
        <v/>
      </c>
      <c r="CM35" s="591" t="str">
        <f t="shared" si="162"/>
        <v/>
      </c>
      <c r="CN35" s="591" t="str">
        <f t="shared" si="163"/>
        <v/>
      </c>
      <c r="CO35" s="591" t="str">
        <f t="shared" si="164"/>
        <v/>
      </c>
      <c r="CP35" s="591" t="str">
        <f t="shared" si="165"/>
        <v/>
      </c>
      <c r="CQ35" s="591" t="str">
        <f t="shared" si="166"/>
        <v/>
      </c>
      <c r="CR35" s="591" t="str">
        <f t="shared" si="167"/>
        <v/>
      </c>
      <c r="CS35" s="591" t="str">
        <f t="shared" si="168"/>
        <v/>
      </c>
      <c r="CT35" s="591" t="str">
        <f t="shared" si="169"/>
        <v/>
      </c>
      <c r="CU35" s="591" t="str">
        <f t="shared" si="170"/>
        <v/>
      </c>
      <c r="CV35" s="591" t="str">
        <f t="shared" si="171"/>
        <v/>
      </c>
      <c r="CW35" s="591" t="str">
        <f t="shared" si="172"/>
        <v/>
      </c>
      <c r="CX35" s="804" t="str">
        <f t="shared" si="173"/>
        <v/>
      </c>
      <c r="CY35" s="813">
        <f>IF(VLOOKUP(A35,'TIS Site Config'!$A$4:$AQ$51,6,FALSE)="Non-heated",COUNTIF($CG35:$CX35,$DT$3),0)</f>
        <v>0</v>
      </c>
      <c r="CZ35" s="592">
        <f>IF(OR(VLOOKUP(A35,'TIS Site Config'!$A$4:$AQ$51,6,FALSE)="Heated",VLOOKUP(A35,'TIS Site Config'!$A$4:$AQ$51,6,FALSE)="Extreme Heated"),COUNTIF($CG35:$CX35,$DT$3),0)</f>
        <v>0</v>
      </c>
      <c r="DA35" s="592">
        <f>IF(VLOOKUP(A35,'TIS Site Config'!$A$4:$AQ$51,6,FALSE)="Non-heated",COUNTIF($CG35:$CX35,$DU$3),0)</f>
        <v>0</v>
      </c>
      <c r="DB35" s="592">
        <f>IF(OR(VLOOKUP(A35,'TIS Site Config'!$A$4:$AQ$51,6,FALSE)="Heated",VLOOKUP(A35,'TIS Site Config'!$A$4:$AQ$51,6,FALSE)="Extreme heated"),COUNTIF($CG35:$CX35,$DU$3),0)</f>
        <v>1</v>
      </c>
      <c r="DC35" s="592">
        <f>IF(VLOOKUP(A35,'TIS Site Config'!$A$4:$AQ$51,6,FALSE)="Non-heated",COUNTIF($CG35:$CX35,$DW$3),0)</f>
        <v>0</v>
      </c>
      <c r="DD35" s="592">
        <f>IF(OR(VLOOKUP(A35,'TIS Site Config'!$A$4:$AQ$51,6,FALSE)="Heated",VLOOKUP(A35,'TIS Site Config'!$A$4:$AQ$51,6,FALSE)="Extreme heated"),COUNTIF($CG35:$CX35,$DW$3),0)</f>
        <v>0</v>
      </c>
      <c r="DE35" s="592">
        <f t="shared" si="132"/>
        <v>0</v>
      </c>
      <c r="DF35" s="592">
        <f>IF(VLOOKUP(A35,'TIS Site Config'!$A$4:$AQ$51,6,FALSE)="Non-heated",COUNTIF($CG35:$CX35,$DX$3),0)</f>
        <v>0</v>
      </c>
      <c r="DG35" s="592">
        <f>IF(OR(VLOOKUP(A35,'TIS Site Config'!$A$4:$AQ$51,6,FALSE)="Heated",VLOOKUP(A35,'TIS Site Config'!$A$4:$AQ$51,6,FALSE)="Extreme heated"),COUNTIF($CG35:$CX35,$DX$3),0)</f>
        <v>1</v>
      </c>
      <c r="DH35" s="814"/>
      <c r="DI35" s="810">
        <f t="shared" si="133"/>
        <v>2</v>
      </c>
      <c r="DJ35" s="355">
        <f t="shared" si="134"/>
        <v>0</v>
      </c>
      <c r="DK35" s="355">
        <f t="shared" si="135"/>
        <v>1</v>
      </c>
      <c r="DL35" s="603">
        <v>1</v>
      </c>
      <c r="DM35" s="604">
        <f t="shared" si="146"/>
        <v>4</v>
      </c>
      <c r="DN35" s="883">
        <f t="shared" si="136"/>
        <v>0</v>
      </c>
      <c r="DO35" s="593">
        <f t="shared" si="174"/>
        <v>1</v>
      </c>
      <c r="DP35" s="593">
        <f t="shared" si="175"/>
        <v>2</v>
      </c>
      <c r="DR35" s="504">
        <f t="shared" si="176"/>
        <v>0</v>
      </c>
      <c r="DS35" s="504">
        <f t="shared" si="177"/>
        <v>1</v>
      </c>
      <c r="DT35" s="504">
        <f t="shared" si="178"/>
        <v>1</v>
      </c>
      <c r="DZ35" s="835">
        <f t="shared" si="137"/>
        <v>-5.0196850393700782E-2</v>
      </c>
      <c r="EA35" s="836">
        <f t="shared" si="112"/>
        <v>0.18840968742543548</v>
      </c>
      <c r="EB35" s="836">
        <f t="shared" si="113"/>
        <v>1.0831842042471964</v>
      </c>
      <c r="EC35" s="836">
        <f t="shared" si="114"/>
        <v>2</v>
      </c>
      <c r="ED35" s="836">
        <f t="shared" si="115"/>
        <v>100</v>
      </c>
      <c r="EE35" s="836">
        <f t="shared" si="116"/>
        <v>100</v>
      </c>
      <c r="EF35" s="836">
        <f t="shared" si="117"/>
        <v>100</v>
      </c>
      <c r="EG35" s="837">
        <f t="shared" si="118"/>
        <v>100</v>
      </c>
      <c r="EH35" s="1053">
        <f t="shared" si="119"/>
        <v>100</v>
      </c>
      <c r="EI35" s="1053">
        <f t="shared" si="120"/>
        <v>100</v>
      </c>
      <c r="EJ35" s="1053">
        <f t="shared" si="121"/>
        <v>100</v>
      </c>
      <c r="EK35" s="1053">
        <f t="shared" si="122"/>
        <v>100</v>
      </c>
      <c r="EL35" s="1053">
        <f t="shared" si="123"/>
        <v>2</v>
      </c>
      <c r="EM35" s="1053">
        <f t="shared" si="124"/>
        <v>1.0831842042471964</v>
      </c>
      <c r="EN35" s="1053">
        <f t="shared" si="125"/>
        <v>0.18840968742543548</v>
      </c>
      <c r="EO35" s="1053">
        <f t="shared" si="126"/>
        <v>-5.0196850393700782E-2</v>
      </c>
      <c r="EP35" s="1067" t="str">
        <f t="shared" si="127"/>
        <v>ML3.5</v>
      </c>
      <c r="EQ35" s="835"/>
      <c r="ER35" s="837" t="str">
        <f t="shared" si="128"/>
        <v>ML1</v>
      </c>
      <c r="ES35" s="837" t="str">
        <f t="shared" si="138"/>
        <v>ML3.5</v>
      </c>
    </row>
    <row r="36" spans="1:149" s="504" customFormat="1" ht="15.75" thickBot="1" x14ac:dyDescent="0.3">
      <c r="A36" s="377" t="s">
        <v>221</v>
      </c>
      <c r="B36" s="761" t="str">
        <f>VLOOKUP($A36,'TIS Site Config'!$A$3:$AQ$51,2,FALSE)</f>
        <v>D13</v>
      </c>
      <c r="C36" s="751" t="str">
        <f>IF(VLOOKUP($A36,'TIS Site Config'!$A$3:$AQ$51,3,FALSE)&lt;&gt;"",
              VLOOKUP($A36,'TIS Site Config'!$A$3:$AQ$51,3,FALSE),"")</f>
        <v>B-FY15-1</v>
      </c>
      <c r="D36" s="933" t="str">
        <f>VLOOKUP($A36,'TIS Site Config'!$A$3:$AQ$51,4,FALSE)</f>
        <v>Moab</v>
      </c>
      <c r="E36" s="786">
        <f t="shared" si="129"/>
        <v>4</v>
      </c>
      <c r="F36" s="866"/>
      <c r="G36" s="373">
        <v>0.2</v>
      </c>
      <c r="H36" s="373">
        <v>2</v>
      </c>
      <c r="I36" s="373">
        <v>4</v>
      </c>
      <c r="J36" s="373">
        <v>6</v>
      </c>
      <c r="K36" s="373"/>
      <c r="L36" s="373"/>
      <c r="M36" s="373"/>
      <c r="N36" s="374"/>
      <c r="O36" s="617">
        <v>26</v>
      </c>
      <c r="P36" s="618" t="s">
        <v>139</v>
      </c>
      <c r="Q36" s="772">
        <f t="shared" si="130"/>
        <v>2</v>
      </c>
      <c r="R36" s="620">
        <v>1</v>
      </c>
      <c r="S36" s="620"/>
      <c r="T36" s="371" t="s">
        <v>203</v>
      </c>
      <c r="U36" s="371" t="s">
        <v>203</v>
      </c>
      <c r="V36" s="371"/>
      <c r="W36" s="371"/>
      <c r="X36" s="371"/>
      <c r="Y36" s="371"/>
      <c r="Z36" s="371"/>
      <c r="AA36" s="371"/>
      <c r="AB36" s="371"/>
      <c r="AC36" s="371"/>
      <c r="AD36" s="371"/>
      <c r="AE36" s="371"/>
      <c r="AF36" s="371"/>
      <c r="AG36" s="371"/>
      <c r="AH36" s="371"/>
      <c r="AI36" s="371"/>
      <c r="AJ36" s="371"/>
      <c r="AK36" s="608"/>
      <c r="AL36" s="375">
        <v>12</v>
      </c>
      <c r="AM36" s="775">
        <f t="shared" si="131"/>
        <v>17</v>
      </c>
      <c r="AN36" s="373"/>
      <c r="AO36" s="789">
        <f t="shared" si="145"/>
        <v>1.3333333333333333</v>
      </c>
      <c r="AP36" s="844">
        <v>0.2</v>
      </c>
      <c r="AQ36" s="845">
        <v>2</v>
      </c>
      <c r="AR36" s="845">
        <v>4</v>
      </c>
      <c r="AS36" s="845">
        <v>6</v>
      </c>
      <c r="AT36" s="845"/>
      <c r="AU36" s="845"/>
      <c r="AV36" s="845"/>
      <c r="AW36" s="846"/>
      <c r="AX36" s="857">
        <v>0.2</v>
      </c>
      <c r="AY36" s="858">
        <v>2</v>
      </c>
      <c r="AZ36" s="858">
        <v>4</v>
      </c>
      <c r="BA36" s="858">
        <v>6</v>
      </c>
      <c r="BB36" s="858">
        <v>0</v>
      </c>
      <c r="BC36" s="858">
        <v>0</v>
      </c>
      <c r="BD36" s="858">
        <v>0</v>
      </c>
      <c r="BE36" s="859">
        <v>0</v>
      </c>
      <c r="BF36" s="794">
        <f t="shared" si="147"/>
        <v>-6.1560486757337142E-2</v>
      </c>
      <c r="BG36" s="599">
        <f t="shared" si="148"/>
        <v>0.47530422333571942</v>
      </c>
      <c r="BH36" s="599">
        <f t="shared" si="149"/>
        <v>1.0718205678835599</v>
      </c>
      <c r="BI36" s="599">
        <f t="shared" si="150"/>
        <v>2</v>
      </c>
      <c r="BJ36" s="599">
        <f t="shared" si="151"/>
        <v>0</v>
      </c>
      <c r="BK36" s="599">
        <f t="shared" si="152"/>
        <v>0</v>
      </c>
      <c r="BL36" s="599">
        <f t="shared" si="153"/>
        <v>0</v>
      </c>
      <c r="BM36" s="795">
        <f t="shared" si="154"/>
        <v>0</v>
      </c>
      <c r="BN36" s="802">
        <f t="shared" si="139"/>
        <v>2</v>
      </c>
      <c r="BO36" s="371">
        <f t="shared" si="144"/>
        <v>1</v>
      </c>
      <c r="BP36" s="371">
        <f t="shared" si="144"/>
        <v>1</v>
      </c>
      <c r="BQ36" s="371" t="str">
        <f t="shared" si="144"/>
        <v/>
      </c>
      <c r="BR36" s="371" t="str">
        <f t="shared" si="144"/>
        <v/>
      </c>
      <c r="BS36" s="371" t="str">
        <f t="shared" si="144"/>
        <v/>
      </c>
      <c r="BT36" s="371" t="str">
        <f t="shared" si="144"/>
        <v/>
      </c>
      <c r="BU36" s="371" t="str">
        <f t="shared" si="144"/>
        <v/>
      </c>
      <c r="BV36" s="371" t="str">
        <f t="shared" si="144"/>
        <v/>
      </c>
      <c r="BW36" s="371" t="str">
        <f t="shared" si="144"/>
        <v/>
      </c>
      <c r="BX36" s="371" t="str">
        <f t="shared" si="144"/>
        <v/>
      </c>
      <c r="BY36" s="371" t="str">
        <f t="shared" si="144"/>
        <v/>
      </c>
      <c r="BZ36" s="371" t="str">
        <f t="shared" si="144"/>
        <v/>
      </c>
      <c r="CA36" s="371" t="str">
        <f t="shared" si="144"/>
        <v/>
      </c>
      <c r="CB36" s="371" t="str">
        <f t="shared" si="144"/>
        <v/>
      </c>
      <c r="CC36" s="371" t="str">
        <f t="shared" si="144"/>
        <v/>
      </c>
      <c r="CD36" s="371" t="str">
        <f t="shared" si="144"/>
        <v/>
      </c>
      <c r="CE36" s="371" t="str">
        <f t="shared" si="155"/>
        <v/>
      </c>
      <c r="CF36" s="799" t="str">
        <f t="shared" si="142"/>
        <v/>
      </c>
      <c r="CG36" s="807" t="str">
        <f t="shared" si="156"/>
        <v>B, ML above</v>
      </c>
      <c r="CH36" s="595" t="str">
        <f t="shared" si="157"/>
        <v>TOP</v>
      </c>
      <c r="CI36" s="595" t="str">
        <f t="shared" si="158"/>
        <v/>
      </c>
      <c r="CJ36" s="595" t="str">
        <f t="shared" si="159"/>
        <v/>
      </c>
      <c r="CK36" s="595" t="str">
        <f t="shared" si="160"/>
        <v/>
      </c>
      <c r="CL36" s="595" t="str">
        <f t="shared" si="161"/>
        <v/>
      </c>
      <c r="CM36" s="595" t="str">
        <f t="shared" si="162"/>
        <v/>
      </c>
      <c r="CN36" s="595" t="str">
        <f t="shared" si="163"/>
        <v/>
      </c>
      <c r="CO36" s="595" t="str">
        <f t="shared" si="164"/>
        <v/>
      </c>
      <c r="CP36" s="595" t="str">
        <f t="shared" si="165"/>
        <v/>
      </c>
      <c r="CQ36" s="595" t="str">
        <f t="shared" si="166"/>
        <v/>
      </c>
      <c r="CR36" s="595" t="str">
        <f t="shared" si="167"/>
        <v/>
      </c>
      <c r="CS36" s="595" t="str">
        <f t="shared" si="168"/>
        <v/>
      </c>
      <c r="CT36" s="595" t="str">
        <f t="shared" si="169"/>
        <v/>
      </c>
      <c r="CU36" s="595" t="str">
        <f t="shared" si="170"/>
        <v/>
      </c>
      <c r="CV36" s="595" t="str">
        <f t="shared" si="171"/>
        <v/>
      </c>
      <c r="CW36" s="595" t="str">
        <f t="shared" si="172"/>
        <v/>
      </c>
      <c r="CX36" s="808" t="str">
        <f t="shared" si="173"/>
        <v/>
      </c>
      <c r="CY36" s="816">
        <f>IF(VLOOKUP(A36,'TIS Site Config'!$A$4:$AQ$51,6,FALSE)="Non-heated",COUNTIF($CG36:$CX36,$DT$3),0)</f>
        <v>0</v>
      </c>
      <c r="CZ36" s="596">
        <f>IF(OR(VLOOKUP(A36,'TIS Site Config'!$A$4:$AQ$51,6,FALSE)="Heated",VLOOKUP(A36,'TIS Site Config'!$A$4:$AQ$51,6,FALSE)="Extreme Heated"),COUNTIF($CG36:$CX36,$DT$3),0)</f>
        <v>0</v>
      </c>
      <c r="DA36" s="596">
        <f>IF(VLOOKUP(A36,'TIS Site Config'!$A$4:$AQ$51,6,FALSE)="Non-heated",COUNTIF($CG36:$CX36,$DU$3),0)</f>
        <v>0</v>
      </c>
      <c r="DB36" s="596">
        <f>IF(OR(VLOOKUP(A36,'TIS Site Config'!$A$4:$AQ$51,6,FALSE)="Heated",VLOOKUP(A36,'TIS Site Config'!$A$4:$AQ$51,6,FALSE)="Extreme heated"),COUNTIF($CG36:$CX36,$DU$3),0)</f>
        <v>1</v>
      </c>
      <c r="DC36" s="596">
        <f>IF(VLOOKUP(A36,'TIS Site Config'!$A$4:$AQ$51,6,FALSE)="Non-heated",COUNTIF($CG36:$CX36,$DW$3),0)</f>
        <v>0</v>
      </c>
      <c r="DD36" s="596">
        <f>IF(OR(VLOOKUP(A36,'TIS Site Config'!$A$4:$AQ$51,6,FALSE)="Heated",VLOOKUP(A36,'TIS Site Config'!$A$4:$AQ$51,6,FALSE)="Extreme heated"),COUNTIF($CG36:$CX36,$DW$3),0)</f>
        <v>0</v>
      </c>
      <c r="DE36" s="596">
        <f t="shared" si="132"/>
        <v>0</v>
      </c>
      <c r="DF36" s="596">
        <f>IF(VLOOKUP(A36,'TIS Site Config'!$A$4:$AQ$51,6,FALSE)="Non-heated",COUNTIF($CG36:$CX36,$DX$3),0)</f>
        <v>0</v>
      </c>
      <c r="DG36" s="596">
        <f>IF(OR(VLOOKUP(A36,'TIS Site Config'!$A$4:$AQ$51,6,FALSE)="Heated",VLOOKUP(A36,'TIS Site Config'!$A$4:$AQ$51,6,FALSE)="Extreme heated"),COUNTIF($CG36:$CX36,$DX$3),0)</f>
        <v>1</v>
      </c>
      <c r="DH36" s="817"/>
      <c r="DI36" s="791">
        <f t="shared" si="133"/>
        <v>0</v>
      </c>
      <c r="DJ36" s="365">
        <f t="shared" si="134"/>
        <v>0</v>
      </c>
      <c r="DK36" s="365">
        <f t="shared" si="135"/>
        <v>3</v>
      </c>
      <c r="DL36" s="376">
        <v>1</v>
      </c>
      <c r="DM36" s="609">
        <f t="shared" si="146"/>
        <v>4</v>
      </c>
      <c r="DN36" s="883">
        <f t="shared" si="136"/>
        <v>0</v>
      </c>
      <c r="DO36" s="593">
        <f t="shared" si="174"/>
        <v>1</v>
      </c>
      <c r="DP36" s="593">
        <f t="shared" si="175"/>
        <v>2</v>
      </c>
      <c r="DR36" s="504">
        <f t="shared" si="176"/>
        <v>2</v>
      </c>
      <c r="DS36" s="504">
        <f t="shared" si="177"/>
        <v>0</v>
      </c>
      <c r="DT36" s="504">
        <f t="shared" si="178"/>
        <v>0</v>
      </c>
      <c r="DZ36" s="794">
        <f t="shared" si="137"/>
        <v>-6.1560486757337142E-2</v>
      </c>
      <c r="EA36" s="599">
        <f t="shared" si="112"/>
        <v>0.47530422333571942</v>
      </c>
      <c r="EB36" s="599">
        <f t="shared" si="113"/>
        <v>1.0718205678835599</v>
      </c>
      <c r="EC36" s="599">
        <f t="shared" si="114"/>
        <v>2</v>
      </c>
      <c r="ED36" s="599">
        <f t="shared" si="115"/>
        <v>100</v>
      </c>
      <c r="EE36" s="599">
        <f t="shared" si="116"/>
        <v>100</v>
      </c>
      <c r="EF36" s="599">
        <f t="shared" si="117"/>
        <v>100</v>
      </c>
      <c r="EG36" s="795">
        <f t="shared" si="118"/>
        <v>100</v>
      </c>
      <c r="EH36" s="1054">
        <f t="shared" si="119"/>
        <v>100</v>
      </c>
      <c r="EI36" s="1054">
        <f t="shared" si="120"/>
        <v>100</v>
      </c>
      <c r="EJ36" s="1054">
        <f t="shared" si="121"/>
        <v>100</v>
      </c>
      <c r="EK36" s="1054">
        <f t="shared" si="122"/>
        <v>100</v>
      </c>
      <c r="EL36" s="1054">
        <f t="shared" si="123"/>
        <v>2</v>
      </c>
      <c r="EM36" s="1054">
        <f t="shared" si="124"/>
        <v>1.0718205678835599</v>
      </c>
      <c r="EN36" s="1054">
        <f t="shared" si="125"/>
        <v>0.47530422333571942</v>
      </c>
      <c r="EO36" s="1054">
        <f t="shared" si="126"/>
        <v>-6.1560486757337142E-2</v>
      </c>
      <c r="EP36" s="1066" t="str">
        <f t="shared" si="127"/>
        <v>ML3.5</v>
      </c>
      <c r="EQ36" s="794"/>
      <c r="ER36" s="795" t="str">
        <f t="shared" si="128"/>
        <v>ML1</v>
      </c>
      <c r="ES36" s="795" t="str">
        <f t="shared" si="138"/>
        <v>ML3.5</v>
      </c>
    </row>
    <row r="37" spans="1:149" s="504" customFormat="1" x14ac:dyDescent="0.25">
      <c r="A37" s="584" t="s">
        <v>238</v>
      </c>
      <c r="B37" s="930" t="str">
        <f>VLOOKUP($A37,'TIS Site Config'!$A$3:$AQ$51,2,FALSE)</f>
        <v>D14</v>
      </c>
      <c r="C37" s="934" t="str">
        <f>IF(VLOOKUP($A37,'TIS Site Config'!$A$3:$AQ$51,3,FALSE)&lt;&gt;"",
              VLOOKUP($A37,'TIS Site Config'!$A$3:$AQ$51,3,FALSE),"")</f>
        <v/>
      </c>
      <c r="D37" s="931" t="str">
        <f>VLOOKUP($A37,'TIS Site Config'!$A$3:$AQ$51,4,FALSE)</f>
        <v>Santa Rita Experimental Range</v>
      </c>
      <c r="E37" s="784">
        <f t="shared" si="129"/>
        <v>4</v>
      </c>
      <c r="F37" s="864"/>
      <c r="G37" s="355">
        <v>0.25</v>
      </c>
      <c r="H37" s="597">
        <v>1.8</v>
      </c>
      <c r="I37" s="597">
        <v>4</v>
      </c>
      <c r="J37" s="597">
        <v>8</v>
      </c>
      <c r="K37" s="597"/>
      <c r="L37" s="597"/>
      <c r="M37" s="597"/>
      <c r="N37" s="826"/>
      <c r="O37" s="613">
        <v>26</v>
      </c>
      <c r="P37" s="614" t="s">
        <v>139</v>
      </c>
      <c r="Q37" s="770">
        <f t="shared" si="130"/>
        <v>2</v>
      </c>
      <c r="R37" s="611">
        <v>1</v>
      </c>
      <c r="S37" s="611"/>
      <c r="T37" s="368" t="s">
        <v>203</v>
      </c>
      <c r="U37" s="368" t="s">
        <v>203</v>
      </c>
      <c r="V37" s="368"/>
      <c r="W37" s="368"/>
      <c r="X37" s="368"/>
      <c r="Y37" s="368"/>
      <c r="Z37" s="368"/>
      <c r="AA37" s="368"/>
      <c r="AB37" s="368"/>
      <c r="AC37" s="368"/>
      <c r="AD37" s="368"/>
      <c r="AE37" s="368"/>
      <c r="AF37" s="368"/>
      <c r="AG37" s="368"/>
      <c r="AH37" s="368"/>
      <c r="AI37" s="368"/>
      <c r="AJ37" s="368"/>
      <c r="AK37" s="602"/>
      <c r="AL37" s="819">
        <v>12</v>
      </c>
      <c r="AM37" s="773">
        <f t="shared" si="131"/>
        <v>17</v>
      </c>
      <c r="AN37" s="597"/>
      <c r="AO37" s="787">
        <f t="shared" si="145"/>
        <v>1.3333333333333333</v>
      </c>
      <c r="AP37" s="838">
        <v>0.25</v>
      </c>
      <c r="AQ37" s="839">
        <v>1.8</v>
      </c>
      <c r="AR37" s="839">
        <v>4</v>
      </c>
      <c r="AS37" s="839">
        <v>8</v>
      </c>
      <c r="AT37" s="839"/>
      <c r="AU37" s="839"/>
      <c r="AV37" s="839"/>
      <c r="AW37" s="840"/>
      <c r="AX37" s="860">
        <v>0.25</v>
      </c>
      <c r="AY37" s="852">
        <v>1.8</v>
      </c>
      <c r="AZ37" s="852">
        <v>4</v>
      </c>
      <c r="BA37" s="852">
        <v>8</v>
      </c>
      <c r="BB37" s="852">
        <v>0</v>
      </c>
      <c r="BC37" s="852">
        <v>0</v>
      </c>
      <c r="BD37" s="852">
        <v>0</v>
      </c>
      <c r="BE37" s="853">
        <v>0</v>
      </c>
      <c r="BF37" s="835">
        <f t="shared" si="147"/>
        <v>-4.6647578143641129E-2</v>
      </c>
      <c r="BG37" s="836">
        <f t="shared" si="148"/>
        <v>0.41565258888093537</v>
      </c>
      <c r="BH37" s="836">
        <f t="shared" si="149"/>
        <v>1.0718205678835599</v>
      </c>
      <c r="BI37" s="836">
        <f t="shared" si="150"/>
        <v>2</v>
      </c>
      <c r="BJ37" s="836">
        <f t="shared" si="151"/>
        <v>0</v>
      </c>
      <c r="BK37" s="836">
        <f t="shared" si="152"/>
        <v>0</v>
      </c>
      <c r="BL37" s="836">
        <f t="shared" si="153"/>
        <v>0</v>
      </c>
      <c r="BM37" s="837">
        <f t="shared" si="154"/>
        <v>0</v>
      </c>
      <c r="BN37" s="800">
        <f t="shared" si="139"/>
        <v>2</v>
      </c>
      <c r="BO37" s="368">
        <f t="shared" si="144"/>
        <v>1</v>
      </c>
      <c r="BP37" s="368">
        <f t="shared" si="144"/>
        <v>1</v>
      </c>
      <c r="BQ37" s="368" t="str">
        <f t="shared" si="144"/>
        <v/>
      </c>
      <c r="BR37" s="368" t="str">
        <f t="shared" si="144"/>
        <v/>
      </c>
      <c r="BS37" s="368" t="str">
        <f t="shared" si="144"/>
        <v/>
      </c>
      <c r="BT37" s="368" t="str">
        <f t="shared" si="144"/>
        <v/>
      </c>
      <c r="BU37" s="368" t="str">
        <f t="shared" si="144"/>
        <v/>
      </c>
      <c r="BV37" s="368" t="str">
        <f t="shared" si="144"/>
        <v/>
      </c>
      <c r="BW37" s="368" t="str">
        <f t="shared" si="144"/>
        <v/>
      </c>
      <c r="BX37" s="368" t="str">
        <f t="shared" si="144"/>
        <v/>
      </c>
      <c r="BY37" s="368" t="str">
        <f t="shared" si="144"/>
        <v/>
      </c>
      <c r="BZ37" s="368" t="str">
        <f t="shared" si="144"/>
        <v/>
      </c>
      <c r="CA37" s="368" t="str">
        <f t="shared" si="144"/>
        <v/>
      </c>
      <c r="CB37" s="368" t="str">
        <f t="shared" si="144"/>
        <v/>
      </c>
      <c r="CC37" s="368" t="str">
        <f t="shared" si="144"/>
        <v/>
      </c>
      <c r="CD37" s="368" t="str">
        <f t="shared" si="144"/>
        <v/>
      </c>
      <c r="CE37" s="368" t="str">
        <f t="shared" si="155"/>
        <v/>
      </c>
      <c r="CF37" s="797" t="str">
        <f t="shared" si="142"/>
        <v/>
      </c>
      <c r="CG37" s="803" t="str">
        <f t="shared" si="156"/>
        <v>B, ML above</v>
      </c>
      <c r="CH37" s="591" t="str">
        <f t="shared" si="157"/>
        <v>TOP</v>
      </c>
      <c r="CI37" s="591" t="str">
        <f t="shared" si="158"/>
        <v/>
      </c>
      <c r="CJ37" s="591" t="str">
        <f t="shared" si="159"/>
        <v/>
      </c>
      <c r="CK37" s="591" t="str">
        <f t="shared" si="160"/>
        <v/>
      </c>
      <c r="CL37" s="591" t="str">
        <f t="shared" si="161"/>
        <v/>
      </c>
      <c r="CM37" s="591" t="str">
        <f t="shared" si="162"/>
        <v/>
      </c>
      <c r="CN37" s="591" t="str">
        <f t="shared" si="163"/>
        <v/>
      </c>
      <c r="CO37" s="591" t="str">
        <f t="shared" si="164"/>
        <v/>
      </c>
      <c r="CP37" s="591" t="str">
        <f t="shared" si="165"/>
        <v/>
      </c>
      <c r="CQ37" s="591" t="str">
        <f t="shared" si="166"/>
        <v/>
      </c>
      <c r="CR37" s="591" t="str">
        <f t="shared" si="167"/>
        <v/>
      </c>
      <c r="CS37" s="591" t="str">
        <f t="shared" si="168"/>
        <v/>
      </c>
      <c r="CT37" s="591" t="str">
        <f t="shared" si="169"/>
        <v/>
      </c>
      <c r="CU37" s="591" t="str">
        <f t="shared" si="170"/>
        <v/>
      </c>
      <c r="CV37" s="591" t="str">
        <f t="shared" si="171"/>
        <v/>
      </c>
      <c r="CW37" s="591" t="str">
        <f t="shared" si="172"/>
        <v/>
      </c>
      <c r="CX37" s="804" t="str">
        <f t="shared" si="173"/>
        <v/>
      </c>
      <c r="CY37" s="813">
        <f>IF(VLOOKUP(A37,'TIS Site Config'!$A$4:$AQ$51,6,FALSE)="Non-heated",COUNTIF($CG37:$CX37,$DT$3),0)</f>
        <v>0</v>
      </c>
      <c r="CZ37" s="592">
        <f>IF(OR(VLOOKUP(A37,'TIS Site Config'!$A$4:$AQ$51,6,FALSE)="Heated",VLOOKUP(A37,'TIS Site Config'!$A$4:$AQ$51,6,FALSE)="Extreme Heated"),COUNTIF($CG37:$CX37,$DT$3),0)</f>
        <v>0</v>
      </c>
      <c r="DA37" s="592">
        <f>IF(VLOOKUP(A37,'TIS Site Config'!$A$4:$AQ$51,6,FALSE)="Non-heated",COUNTIF($CG37:$CX37,$DU$3),0)</f>
        <v>1</v>
      </c>
      <c r="DB37" s="592">
        <f>IF(OR(VLOOKUP(A37,'TIS Site Config'!$A$4:$AQ$51,6,FALSE)="Heated",VLOOKUP(A37,'TIS Site Config'!$A$4:$AQ$51,6,FALSE)="Extreme heated"),COUNTIF($CG37:$CX37,$DU$3),0)</f>
        <v>0</v>
      </c>
      <c r="DC37" s="592">
        <f>IF(VLOOKUP(A37,'TIS Site Config'!$A$4:$AQ$51,6,FALSE)="Non-heated",COUNTIF($CG37:$CX37,$DW$3),0)</f>
        <v>0</v>
      </c>
      <c r="DD37" s="592">
        <f>IF(OR(VLOOKUP(A37,'TIS Site Config'!$A$4:$AQ$51,6,FALSE)="Heated",VLOOKUP(A37,'TIS Site Config'!$A$4:$AQ$51,6,FALSE)="Extreme heated"),COUNTIF($CG37:$CX37,$DW$3),0)</f>
        <v>0</v>
      </c>
      <c r="DE37" s="592">
        <f t="shared" si="132"/>
        <v>0</v>
      </c>
      <c r="DF37" s="592">
        <f>IF(VLOOKUP(A37,'TIS Site Config'!$A$4:$AQ$51,6,FALSE)="Non-heated",COUNTIF($CG37:$CX37,$DX$3),0)</f>
        <v>1</v>
      </c>
      <c r="DG37" s="592">
        <f>IF(OR(VLOOKUP(A37,'TIS Site Config'!$A$4:$AQ$51,6,FALSE)="Heated",VLOOKUP(A37,'TIS Site Config'!$A$4:$AQ$51,6,FALSE)="Extreme heated"),COUNTIF($CG37:$CX37,$DX$3),0)</f>
        <v>0</v>
      </c>
      <c r="DH37" s="814"/>
      <c r="DI37" s="810">
        <f t="shared" si="133"/>
        <v>0</v>
      </c>
      <c r="DJ37" s="355">
        <f t="shared" si="134"/>
        <v>0</v>
      </c>
      <c r="DK37" s="355">
        <f t="shared" si="135"/>
        <v>3</v>
      </c>
      <c r="DL37" s="603">
        <v>1</v>
      </c>
      <c r="DM37" s="604">
        <f t="shared" si="146"/>
        <v>4</v>
      </c>
      <c r="DN37" s="883">
        <f t="shared" si="136"/>
        <v>0</v>
      </c>
      <c r="DO37" s="593">
        <f t="shared" si="174"/>
        <v>1</v>
      </c>
      <c r="DP37" s="593">
        <f t="shared" si="175"/>
        <v>2</v>
      </c>
      <c r="DR37" s="504">
        <f t="shared" si="176"/>
        <v>2</v>
      </c>
      <c r="DS37" s="504">
        <f t="shared" si="177"/>
        <v>0</v>
      </c>
      <c r="DT37" s="504">
        <f t="shared" si="178"/>
        <v>0</v>
      </c>
      <c r="DZ37" s="835">
        <f t="shared" si="137"/>
        <v>-4.6647578143641129E-2</v>
      </c>
      <c r="EA37" s="836">
        <f t="shared" si="112"/>
        <v>0.41565258888093537</v>
      </c>
      <c r="EB37" s="836">
        <f t="shared" si="113"/>
        <v>1.0718205678835599</v>
      </c>
      <c r="EC37" s="836">
        <f t="shared" si="114"/>
        <v>2</v>
      </c>
      <c r="ED37" s="836">
        <f t="shared" si="115"/>
        <v>100</v>
      </c>
      <c r="EE37" s="836">
        <f t="shared" si="116"/>
        <v>100</v>
      </c>
      <c r="EF37" s="836">
        <f t="shared" si="117"/>
        <v>100</v>
      </c>
      <c r="EG37" s="837">
        <f t="shared" si="118"/>
        <v>100</v>
      </c>
      <c r="EH37" s="1053">
        <f t="shared" si="119"/>
        <v>100</v>
      </c>
      <c r="EI37" s="1053">
        <f t="shared" si="120"/>
        <v>100</v>
      </c>
      <c r="EJ37" s="1053">
        <f t="shared" si="121"/>
        <v>100</v>
      </c>
      <c r="EK37" s="1053">
        <f t="shared" si="122"/>
        <v>100</v>
      </c>
      <c r="EL37" s="1053">
        <f t="shared" si="123"/>
        <v>2</v>
      </c>
      <c r="EM37" s="1053">
        <f t="shared" si="124"/>
        <v>1.0718205678835599</v>
      </c>
      <c r="EN37" s="1053">
        <f t="shared" si="125"/>
        <v>0.41565258888093537</v>
      </c>
      <c r="EO37" s="1053">
        <f t="shared" si="126"/>
        <v>-4.6647578143641129E-2</v>
      </c>
      <c r="EP37" s="1067" t="str">
        <f t="shared" si="127"/>
        <v>ML3.5</v>
      </c>
      <c r="EQ37" s="835"/>
      <c r="ER37" s="837" t="str">
        <f t="shared" si="128"/>
        <v>ML1</v>
      </c>
      <c r="ES37" s="837" t="str">
        <f t="shared" si="138"/>
        <v>ML3.5</v>
      </c>
    </row>
    <row r="38" spans="1:149" s="504" customFormat="1" ht="15.75" thickBot="1" x14ac:dyDescent="0.3">
      <c r="A38" s="377" t="s">
        <v>134</v>
      </c>
      <c r="B38" s="761" t="str">
        <f>VLOOKUP($A38,'TIS Site Config'!$A$3:$AQ$51,2,FALSE)</f>
        <v>D14</v>
      </c>
      <c r="C38" s="751" t="str">
        <f>IF(VLOOKUP($A38,'TIS Site Config'!$A$3:$AQ$51,3,FALSE)&lt;&gt;"",
              VLOOKUP($A38,'TIS Site Config'!$A$3:$AQ$51,3,FALSE),"")</f>
        <v>1-FY14</v>
      </c>
      <c r="D38" s="933" t="str">
        <f>VLOOKUP($A38,'TIS Site Config'!$A$3:$AQ$51,4,FALSE)</f>
        <v>Jornada LTER</v>
      </c>
      <c r="E38" s="786">
        <f t="shared" si="129"/>
        <v>4</v>
      </c>
      <c r="F38" s="866"/>
      <c r="G38" s="373">
        <v>0.2</v>
      </c>
      <c r="H38" s="373">
        <v>1.3</v>
      </c>
      <c r="I38" s="373">
        <v>4</v>
      </c>
      <c r="J38" s="373">
        <v>8</v>
      </c>
      <c r="K38" s="373"/>
      <c r="L38" s="373"/>
      <c r="M38" s="373"/>
      <c r="N38" s="374"/>
      <c r="O38" s="617">
        <v>26</v>
      </c>
      <c r="P38" s="624" t="s">
        <v>139</v>
      </c>
      <c r="Q38" s="772">
        <f t="shared" si="130"/>
        <v>2</v>
      </c>
      <c r="R38" s="620">
        <v>1</v>
      </c>
      <c r="S38" s="620"/>
      <c r="T38" s="371" t="s">
        <v>203</v>
      </c>
      <c r="U38" s="371" t="s">
        <v>203</v>
      </c>
      <c r="V38" s="371"/>
      <c r="W38" s="371"/>
      <c r="X38" s="371"/>
      <c r="Y38" s="371"/>
      <c r="Z38" s="371"/>
      <c r="AA38" s="371"/>
      <c r="AB38" s="371"/>
      <c r="AC38" s="371"/>
      <c r="AD38" s="371"/>
      <c r="AE38" s="371"/>
      <c r="AF38" s="371"/>
      <c r="AG38" s="371"/>
      <c r="AH38" s="371"/>
      <c r="AI38" s="371"/>
      <c r="AJ38" s="371"/>
      <c r="AK38" s="608"/>
      <c r="AL38" s="375">
        <v>12</v>
      </c>
      <c r="AM38" s="775">
        <f t="shared" si="131"/>
        <v>17</v>
      </c>
      <c r="AN38" s="373">
        <v>17.4375</v>
      </c>
      <c r="AO38" s="789">
        <f t="shared" si="145"/>
        <v>1.3697916666666667</v>
      </c>
      <c r="AP38" s="844">
        <v>0.2</v>
      </c>
      <c r="AQ38" s="845">
        <v>1.3</v>
      </c>
      <c r="AR38" s="845">
        <v>4</v>
      </c>
      <c r="AS38" s="845">
        <v>8</v>
      </c>
      <c r="AT38" s="845"/>
      <c r="AU38" s="845"/>
      <c r="AV38" s="845"/>
      <c r="AW38" s="846"/>
      <c r="AX38" s="857">
        <v>0.2</v>
      </c>
      <c r="AY38" s="858">
        <v>1.3</v>
      </c>
      <c r="AZ38" s="858">
        <v>4</v>
      </c>
      <c r="BA38" s="858">
        <v>8</v>
      </c>
      <c r="BB38" s="858">
        <v>0</v>
      </c>
      <c r="BC38" s="858">
        <v>0</v>
      </c>
      <c r="BD38" s="858">
        <v>0</v>
      </c>
      <c r="BE38" s="859">
        <v>0</v>
      </c>
      <c r="BF38" s="794">
        <f t="shared" si="147"/>
        <v>-6.4874880696731099E-2</v>
      </c>
      <c r="BG38" s="599">
        <f t="shared" si="148"/>
        <v>0.2632091088045812</v>
      </c>
      <c r="BH38" s="599">
        <f t="shared" si="149"/>
        <v>1.0685061739441661</v>
      </c>
      <c r="BI38" s="599">
        <f t="shared" si="150"/>
        <v>2</v>
      </c>
      <c r="BJ38" s="599">
        <f t="shared" si="151"/>
        <v>0</v>
      </c>
      <c r="BK38" s="599">
        <f t="shared" si="152"/>
        <v>0</v>
      </c>
      <c r="BL38" s="599">
        <f t="shared" si="153"/>
        <v>0</v>
      </c>
      <c r="BM38" s="795">
        <f t="shared" si="154"/>
        <v>0</v>
      </c>
      <c r="BN38" s="802">
        <f t="shared" si="139"/>
        <v>2</v>
      </c>
      <c r="BO38" s="371">
        <f t="shared" si="144"/>
        <v>1</v>
      </c>
      <c r="BP38" s="371">
        <f t="shared" si="144"/>
        <v>1</v>
      </c>
      <c r="BQ38" s="371" t="str">
        <f t="shared" si="144"/>
        <v/>
      </c>
      <c r="BR38" s="371" t="str">
        <f t="shared" si="144"/>
        <v/>
      </c>
      <c r="BS38" s="371" t="str">
        <f t="shared" si="144"/>
        <v/>
      </c>
      <c r="BT38" s="371" t="str">
        <f t="shared" si="144"/>
        <v/>
      </c>
      <c r="BU38" s="371" t="str">
        <f t="shared" si="144"/>
        <v/>
      </c>
      <c r="BV38" s="371" t="str">
        <f t="shared" si="144"/>
        <v/>
      </c>
      <c r="BW38" s="371" t="str">
        <f t="shared" si="144"/>
        <v/>
      </c>
      <c r="BX38" s="371" t="str">
        <f t="shared" si="144"/>
        <v/>
      </c>
      <c r="BY38" s="371" t="str">
        <f t="shared" si="144"/>
        <v/>
      </c>
      <c r="BZ38" s="371" t="str">
        <f t="shared" si="144"/>
        <v/>
      </c>
      <c r="CA38" s="371" t="str">
        <f t="shared" si="144"/>
        <v/>
      </c>
      <c r="CB38" s="371" t="str">
        <f t="shared" si="144"/>
        <v/>
      </c>
      <c r="CC38" s="371" t="str">
        <f t="shared" si="144"/>
        <v/>
      </c>
      <c r="CD38" s="371" t="str">
        <f t="shared" si="144"/>
        <v/>
      </c>
      <c r="CE38" s="371" t="str">
        <f t="shared" si="155"/>
        <v/>
      </c>
      <c r="CF38" s="799" t="str">
        <f t="shared" si="142"/>
        <v/>
      </c>
      <c r="CG38" s="807" t="str">
        <f t="shared" si="156"/>
        <v>B, ML above</v>
      </c>
      <c r="CH38" s="595" t="str">
        <f t="shared" si="157"/>
        <v>TOP</v>
      </c>
      <c r="CI38" s="595" t="str">
        <f t="shared" si="158"/>
        <v/>
      </c>
      <c r="CJ38" s="595" t="str">
        <f t="shared" si="159"/>
        <v/>
      </c>
      <c r="CK38" s="595" t="str">
        <f t="shared" si="160"/>
        <v/>
      </c>
      <c r="CL38" s="595" t="str">
        <f t="shared" si="161"/>
        <v/>
      </c>
      <c r="CM38" s="595" t="str">
        <f t="shared" si="162"/>
        <v/>
      </c>
      <c r="CN38" s="595" t="str">
        <f t="shared" si="163"/>
        <v/>
      </c>
      <c r="CO38" s="595" t="str">
        <f t="shared" si="164"/>
        <v/>
      </c>
      <c r="CP38" s="595" t="str">
        <f t="shared" si="165"/>
        <v/>
      </c>
      <c r="CQ38" s="595" t="str">
        <f t="shared" si="166"/>
        <v/>
      </c>
      <c r="CR38" s="595" t="str">
        <f t="shared" si="167"/>
        <v/>
      </c>
      <c r="CS38" s="595" t="str">
        <f t="shared" si="168"/>
        <v/>
      </c>
      <c r="CT38" s="595" t="str">
        <f t="shared" si="169"/>
        <v/>
      </c>
      <c r="CU38" s="595" t="str">
        <f t="shared" si="170"/>
        <v/>
      </c>
      <c r="CV38" s="595" t="str">
        <f t="shared" si="171"/>
        <v/>
      </c>
      <c r="CW38" s="595" t="str">
        <f t="shared" si="172"/>
        <v/>
      </c>
      <c r="CX38" s="808" t="str">
        <f t="shared" si="173"/>
        <v/>
      </c>
      <c r="CY38" s="816">
        <f>IF(VLOOKUP(A38,'TIS Site Config'!$A$4:$AQ$51,6,FALSE)="Non-heated",COUNTIF($CG38:$CX38,$DT$3),0)</f>
        <v>0</v>
      </c>
      <c r="CZ38" s="596">
        <f>IF(OR(VLOOKUP(A38,'TIS Site Config'!$A$4:$AQ$51,6,FALSE)="Heated",VLOOKUP(A38,'TIS Site Config'!$A$4:$AQ$51,6,FALSE)="Extreme Heated"),COUNTIF($CG38:$CX38,$DT$3),0)</f>
        <v>0</v>
      </c>
      <c r="DA38" s="596">
        <f>IF(VLOOKUP(A38,'TIS Site Config'!$A$4:$AQ$51,6,FALSE)="Non-heated",COUNTIF($CG38:$CX38,$DU$3),0)</f>
        <v>1</v>
      </c>
      <c r="DB38" s="596">
        <f>IF(OR(VLOOKUP(A38,'TIS Site Config'!$A$4:$AQ$51,6,FALSE)="Heated",VLOOKUP(A38,'TIS Site Config'!$A$4:$AQ$51,6,FALSE)="Extreme heated"),COUNTIF($CG38:$CX38,$DU$3),0)</f>
        <v>0</v>
      </c>
      <c r="DC38" s="596">
        <f>IF(VLOOKUP(A38,'TIS Site Config'!$A$4:$AQ$51,6,FALSE)="Non-heated",COUNTIF($CG38:$CX38,$DW$3),0)</f>
        <v>0</v>
      </c>
      <c r="DD38" s="596">
        <f>IF(OR(VLOOKUP(A38,'TIS Site Config'!$A$4:$AQ$51,6,FALSE)="Heated",VLOOKUP(A38,'TIS Site Config'!$A$4:$AQ$51,6,FALSE)="Extreme heated"),COUNTIF($CG38:$CX38,$DW$3),0)</f>
        <v>0</v>
      </c>
      <c r="DE38" s="596">
        <f t="shared" si="132"/>
        <v>0</v>
      </c>
      <c r="DF38" s="596">
        <f>IF(VLOOKUP(A38,'TIS Site Config'!$A$4:$AQ$51,6,FALSE)="Non-heated",COUNTIF($CG38:$CX38,$DX$3),0)</f>
        <v>1</v>
      </c>
      <c r="DG38" s="596">
        <f>IF(OR(VLOOKUP(A38,'TIS Site Config'!$A$4:$AQ$51,6,FALSE)="Heated",VLOOKUP(A38,'TIS Site Config'!$A$4:$AQ$51,6,FALSE)="Extreme heated"),COUNTIF($CG38:$CX38,$DX$3),0)</f>
        <v>0</v>
      </c>
      <c r="DH38" s="817"/>
      <c r="DI38" s="791">
        <f t="shared" si="133"/>
        <v>0</v>
      </c>
      <c r="DJ38" s="365">
        <f t="shared" si="134"/>
        <v>0</v>
      </c>
      <c r="DK38" s="365">
        <f t="shared" si="135"/>
        <v>3</v>
      </c>
      <c r="DL38" s="376">
        <v>1</v>
      </c>
      <c r="DM38" s="609">
        <f t="shared" si="146"/>
        <v>4</v>
      </c>
      <c r="DN38" s="883">
        <f t="shared" si="136"/>
        <v>0</v>
      </c>
      <c r="DO38" s="593">
        <f t="shared" si="174"/>
        <v>1</v>
      </c>
      <c r="DP38" s="593">
        <f t="shared" si="175"/>
        <v>2</v>
      </c>
      <c r="DR38" s="504">
        <f t="shared" si="176"/>
        <v>2</v>
      </c>
      <c r="DS38" s="504">
        <f t="shared" si="177"/>
        <v>0</v>
      </c>
      <c r="DT38" s="504">
        <f t="shared" si="178"/>
        <v>0</v>
      </c>
      <c r="DZ38" s="794">
        <f t="shared" si="137"/>
        <v>-6.4874880696731099E-2</v>
      </c>
      <c r="EA38" s="599">
        <f t="shared" si="112"/>
        <v>0.2632091088045812</v>
      </c>
      <c r="EB38" s="599">
        <f t="shared" si="113"/>
        <v>1.0685061739441661</v>
      </c>
      <c r="EC38" s="599">
        <f t="shared" si="114"/>
        <v>2</v>
      </c>
      <c r="ED38" s="599">
        <f t="shared" si="115"/>
        <v>100</v>
      </c>
      <c r="EE38" s="599">
        <f t="shared" si="116"/>
        <v>100</v>
      </c>
      <c r="EF38" s="599">
        <f t="shared" si="117"/>
        <v>100</v>
      </c>
      <c r="EG38" s="795">
        <f t="shared" si="118"/>
        <v>100</v>
      </c>
      <c r="EH38" s="1054">
        <f t="shared" si="119"/>
        <v>100</v>
      </c>
      <c r="EI38" s="1054">
        <f t="shared" si="120"/>
        <v>100</v>
      </c>
      <c r="EJ38" s="1054">
        <f t="shared" si="121"/>
        <v>100</v>
      </c>
      <c r="EK38" s="1054">
        <f t="shared" si="122"/>
        <v>100</v>
      </c>
      <c r="EL38" s="1054">
        <f t="shared" si="123"/>
        <v>2</v>
      </c>
      <c r="EM38" s="1054">
        <f t="shared" si="124"/>
        <v>1.0685061739441661</v>
      </c>
      <c r="EN38" s="1054">
        <f t="shared" si="125"/>
        <v>0.2632091088045812</v>
      </c>
      <c r="EO38" s="1054">
        <f t="shared" si="126"/>
        <v>-6.4874880696731099E-2</v>
      </c>
      <c r="EP38" s="1066" t="str">
        <f t="shared" si="127"/>
        <v>ML3.5</v>
      </c>
      <c r="EQ38" s="794"/>
      <c r="ER38" s="795" t="str">
        <f t="shared" si="128"/>
        <v>ML1</v>
      </c>
      <c r="ES38" s="795" t="str">
        <f t="shared" si="138"/>
        <v>ML3.5</v>
      </c>
    </row>
    <row r="39" spans="1:149" s="504" customFormat="1" ht="15.75" thickBot="1" x14ac:dyDescent="0.3">
      <c r="A39" s="1021" t="s">
        <v>239</v>
      </c>
      <c r="B39" s="1022" t="str">
        <f>VLOOKUP($A39,'TIS Site Config'!$A$3:$AQ$51,2,FALSE)</f>
        <v>D15</v>
      </c>
      <c r="C39" s="1023" t="str">
        <f>IF(VLOOKUP($A39,'TIS Site Config'!$A$3:$AQ$51,3,FALSE)&lt;&gt;"",
              VLOOKUP($A39,'TIS Site Config'!$A$3:$AQ$51,3,FALSE),"")</f>
        <v>C-FY15-2</v>
      </c>
      <c r="D39" s="1024" t="str">
        <f>VLOOKUP($A39,'TIS Site Config'!$A$3:$AQ$51,4,FALSE)</f>
        <v>Onaqui-Ault</v>
      </c>
      <c r="E39" s="786">
        <f t="shared" si="129"/>
        <v>4</v>
      </c>
      <c r="F39" s="866"/>
      <c r="G39" s="373">
        <v>0.2</v>
      </c>
      <c r="H39" s="373">
        <v>2</v>
      </c>
      <c r="I39" s="373">
        <v>4</v>
      </c>
      <c r="J39" s="373">
        <v>6</v>
      </c>
      <c r="K39" s="373"/>
      <c r="L39" s="373"/>
      <c r="M39" s="373"/>
      <c r="N39" s="374"/>
      <c r="O39" s="617">
        <v>26</v>
      </c>
      <c r="P39" s="618" t="s">
        <v>139</v>
      </c>
      <c r="Q39" s="772">
        <f t="shared" si="130"/>
        <v>2</v>
      </c>
      <c r="R39" s="620">
        <v>1</v>
      </c>
      <c r="S39" s="620"/>
      <c r="T39" s="371" t="s">
        <v>203</v>
      </c>
      <c r="U39" s="371" t="s">
        <v>203</v>
      </c>
      <c r="V39" s="371"/>
      <c r="W39" s="371"/>
      <c r="X39" s="371"/>
      <c r="Y39" s="371"/>
      <c r="Z39" s="371"/>
      <c r="AA39" s="371"/>
      <c r="AB39" s="371"/>
      <c r="AC39" s="371"/>
      <c r="AD39" s="371"/>
      <c r="AE39" s="371"/>
      <c r="AF39" s="371"/>
      <c r="AG39" s="371"/>
      <c r="AH39" s="371"/>
      <c r="AI39" s="371"/>
      <c r="AJ39" s="371"/>
      <c r="AK39" s="608"/>
      <c r="AL39" s="375">
        <v>10.5</v>
      </c>
      <c r="AM39" s="775">
        <f t="shared" si="131"/>
        <v>15.5</v>
      </c>
      <c r="AN39" s="373"/>
      <c r="AO39" s="789">
        <f t="shared" si="145"/>
        <v>1.2083333333333333</v>
      </c>
      <c r="AP39" s="844">
        <v>0.2</v>
      </c>
      <c r="AQ39" s="845">
        <v>2</v>
      </c>
      <c r="AR39" s="845">
        <v>4</v>
      </c>
      <c r="AS39" s="845">
        <v>6</v>
      </c>
      <c r="AT39" s="845"/>
      <c r="AU39" s="845"/>
      <c r="AV39" s="845"/>
      <c r="AW39" s="846"/>
      <c r="AX39" s="857">
        <v>0.2</v>
      </c>
      <c r="AY39" s="858">
        <v>2</v>
      </c>
      <c r="AZ39" s="858">
        <v>4</v>
      </c>
      <c r="BA39" s="858">
        <v>6</v>
      </c>
      <c r="BB39" s="858">
        <v>0</v>
      </c>
      <c r="BC39" s="858">
        <v>0</v>
      </c>
      <c r="BD39" s="858">
        <v>0</v>
      </c>
      <c r="BE39" s="859">
        <v>0</v>
      </c>
      <c r="BF39" s="794">
        <f t="shared" si="147"/>
        <v>-5.0196850393700782E-2</v>
      </c>
      <c r="BG39" s="599">
        <f t="shared" si="148"/>
        <v>0.48666785969935583</v>
      </c>
      <c r="BH39" s="599">
        <f t="shared" si="149"/>
        <v>1.0831842042471964</v>
      </c>
      <c r="BI39" s="599">
        <f t="shared" si="150"/>
        <v>2</v>
      </c>
      <c r="BJ39" s="599">
        <f t="shared" si="151"/>
        <v>0</v>
      </c>
      <c r="BK39" s="599">
        <f t="shared" si="152"/>
        <v>0</v>
      </c>
      <c r="BL39" s="599">
        <f t="shared" si="153"/>
        <v>0</v>
      </c>
      <c r="BM39" s="795">
        <f t="shared" si="154"/>
        <v>0</v>
      </c>
      <c r="BN39" s="802">
        <f t="shared" si="139"/>
        <v>2</v>
      </c>
      <c r="BO39" s="371">
        <f t="shared" si="144"/>
        <v>1</v>
      </c>
      <c r="BP39" s="371">
        <f t="shared" si="144"/>
        <v>1</v>
      </c>
      <c r="BQ39" s="371" t="str">
        <f t="shared" si="144"/>
        <v/>
      </c>
      <c r="BR39" s="371" t="str">
        <f t="shared" si="144"/>
        <v/>
      </c>
      <c r="BS39" s="371" t="str">
        <f t="shared" si="144"/>
        <v/>
      </c>
      <c r="BT39" s="371" t="str">
        <f t="shared" si="144"/>
        <v/>
      </c>
      <c r="BU39" s="371" t="str">
        <f t="shared" si="144"/>
        <v/>
      </c>
      <c r="BV39" s="371" t="str">
        <f t="shared" si="144"/>
        <v/>
      </c>
      <c r="BW39" s="371" t="str">
        <f t="shared" si="144"/>
        <v/>
      </c>
      <c r="BX39" s="371" t="str">
        <f t="shared" si="144"/>
        <v/>
      </c>
      <c r="BY39" s="371" t="str">
        <f t="shared" si="144"/>
        <v/>
      </c>
      <c r="BZ39" s="371" t="str">
        <f t="shared" si="144"/>
        <v/>
      </c>
      <c r="CA39" s="371" t="str">
        <f t="shared" si="144"/>
        <v/>
      </c>
      <c r="CB39" s="371" t="str">
        <f t="shared" si="144"/>
        <v/>
      </c>
      <c r="CC39" s="371" t="str">
        <f t="shared" si="144"/>
        <v/>
      </c>
      <c r="CD39" s="371" t="str">
        <f t="shared" si="144"/>
        <v/>
      </c>
      <c r="CE39" s="371" t="str">
        <f t="shared" si="155"/>
        <v/>
      </c>
      <c r="CF39" s="799" t="str">
        <f t="shared" si="142"/>
        <v/>
      </c>
      <c r="CG39" s="807" t="str">
        <f t="shared" si="156"/>
        <v>B, ML above</v>
      </c>
      <c r="CH39" s="595" t="str">
        <f t="shared" si="157"/>
        <v>TOP</v>
      </c>
      <c r="CI39" s="595" t="str">
        <f t="shared" si="158"/>
        <v/>
      </c>
      <c r="CJ39" s="595" t="str">
        <f t="shared" si="159"/>
        <v/>
      </c>
      <c r="CK39" s="595" t="str">
        <f t="shared" si="160"/>
        <v/>
      </c>
      <c r="CL39" s="595" t="str">
        <f t="shared" si="161"/>
        <v/>
      </c>
      <c r="CM39" s="595" t="str">
        <f t="shared" si="162"/>
        <v/>
      </c>
      <c r="CN39" s="595" t="str">
        <f t="shared" si="163"/>
        <v/>
      </c>
      <c r="CO39" s="595" t="str">
        <f t="shared" si="164"/>
        <v/>
      </c>
      <c r="CP39" s="595" t="str">
        <f t="shared" si="165"/>
        <v/>
      </c>
      <c r="CQ39" s="595" t="str">
        <f t="shared" si="166"/>
        <v/>
      </c>
      <c r="CR39" s="595" t="str">
        <f t="shared" si="167"/>
        <v/>
      </c>
      <c r="CS39" s="595" t="str">
        <f t="shared" si="168"/>
        <v/>
      </c>
      <c r="CT39" s="595" t="str">
        <f t="shared" si="169"/>
        <v/>
      </c>
      <c r="CU39" s="595" t="str">
        <f t="shared" si="170"/>
        <v/>
      </c>
      <c r="CV39" s="595" t="str">
        <f t="shared" si="171"/>
        <v/>
      </c>
      <c r="CW39" s="595" t="str">
        <f t="shared" si="172"/>
        <v/>
      </c>
      <c r="CX39" s="808" t="str">
        <f t="shared" si="173"/>
        <v/>
      </c>
      <c r="CY39" s="816">
        <f>IF(VLOOKUP(A39,'TIS Site Config'!$A$4:$AQ$51,6,FALSE)="Non-heated",COUNTIF($CG39:$CX39,$DT$3),0)</f>
        <v>0</v>
      </c>
      <c r="CZ39" s="596">
        <f>IF(OR(VLOOKUP(A39,'TIS Site Config'!$A$4:$AQ$51,6,FALSE)="Heated",VLOOKUP(A39,'TIS Site Config'!$A$4:$AQ$51,6,FALSE)="Extreme Heated"),COUNTIF($CG39:$CX39,$DT$3),0)</f>
        <v>0</v>
      </c>
      <c r="DA39" s="596">
        <f>IF(VLOOKUP(A39,'TIS Site Config'!$A$4:$AQ$51,6,FALSE)="Non-heated",COUNTIF($CG39:$CX39,$DU$3),0)</f>
        <v>0</v>
      </c>
      <c r="DB39" s="596">
        <f>IF(OR(VLOOKUP(A39,'TIS Site Config'!$A$4:$AQ$51,6,FALSE)="Heated",VLOOKUP(A39,'TIS Site Config'!$A$4:$AQ$51,6,FALSE)="Extreme heated"),COUNTIF($CG39:$CX39,$DU$3),0)</f>
        <v>1</v>
      </c>
      <c r="DC39" s="596">
        <f>IF(VLOOKUP(A39,'TIS Site Config'!$A$4:$AQ$51,6,FALSE)="Non-heated",COUNTIF($CG39:$CX39,$DW$3),0)</f>
        <v>0</v>
      </c>
      <c r="DD39" s="596">
        <f>IF(OR(VLOOKUP(A39,'TIS Site Config'!$A$4:$AQ$51,6,FALSE)="Heated",VLOOKUP(A39,'TIS Site Config'!$A$4:$AQ$51,6,FALSE)="Extreme heated"),COUNTIF($CG39:$CX39,$DW$3),0)</f>
        <v>0</v>
      </c>
      <c r="DE39" s="596">
        <f t="shared" si="132"/>
        <v>0</v>
      </c>
      <c r="DF39" s="596">
        <f>IF(VLOOKUP(A39,'TIS Site Config'!$A$4:$AQ$51,6,FALSE)="Non-heated",COUNTIF($CG39:$CX39,$DX$3),0)</f>
        <v>0</v>
      </c>
      <c r="DG39" s="596">
        <f>IF(OR(VLOOKUP(A39,'TIS Site Config'!$A$4:$AQ$51,6,FALSE)="Heated",VLOOKUP(A39,'TIS Site Config'!$A$4:$AQ$51,6,FALSE)="Extreme heated"),COUNTIF($CG39:$CX39,$DX$3),0)</f>
        <v>1</v>
      </c>
      <c r="DH39" s="817"/>
      <c r="DI39" s="791">
        <f t="shared" si="133"/>
        <v>0</v>
      </c>
      <c r="DJ39" s="365">
        <f t="shared" si="134"/>
        <v>0</v>
      </c>
      <c r="DK39" s="365">
        <f t="shared" si="135"/>
        <v>3</v>
      </c>
      <c r="DL39" s="376">
        <v>1</v>
      </c>
      <c r="DM39" s="609">
        <f t="shared" si="146"/>
        <v>4</v>
      </c>
      <c r="DN39" s="883">
        <f t="shared" si="136"/>
        <v>0</v>
      </c>
      <c r="DO39" s="593">
        <f t="shared" si="174"/>
        <v>1</v>
      </c>
      <c r="DP39" s="593">
        <f t="shared" si="175"/>
        <v>2</v>
      </c>
      <c r="DR39" s="504">
        <f t="shared" si="176"/>
        <v>2</v>
      </c>
      <c r="DS39" s="504">
        <f t="shared" si="177"/>
        <v>0</v>
      </c>
      <c r="DT39" s="504">
        <f t="shared" si="178"/>
        <v>0</v>
      </c>
      <c r="DZ39" s="794">
        <f t="shared" si="137"/>
        <v>-5.0196850393700782E-2</v>
      </c>
      <c r="EA39" s="599">
        <f t="shared" si="112"/>
        <v>0.48666785969935583</v>
      </c>
      <c r="EB39" s="599">
        <f t="shared" si="113"/>
        <v>1.0831842042471964</v>
      </c>
      <c r="EC39" s="599">
        <f t="shared" si="114"/>
        <v>2</v>
      </c>
      <c r="ED39" s="599">
        <f t="shared" si="115"/>
        <v>100</v>
      </c>
      <c r="EE39" s="599">
        <f t="shared" si="116"/>
        <v>100</v>
      </c>
      <c r="EF39" s="599">
        <f t="shared" si="117"/>
        <v>100</v>
      </c>
      <c r="EG39" s="795">
        <f t="shared" si="118"/>
        <v>100</v>
      </c>
      <c r="EH39" s="1054">
        <f t="shared" si="119"/>
        <v>100</v>
      </c>
      <c r="EI39" s="1054">
        <f t="shared" si="120"/>
        <v>100</v>
      </c>
      <c r="EJ39" s="1054">
        <f t="shared" si="121"/>
        <v>100</v>
      </c>
      <c r="EK39" s="1054">
        <f t="shared" si="122"/>
        <v>100</v>
      </c>
      <c r="EL39" s="1054">
        <f t="shared" si="123"/>
        <v>2</v>
      </c>
      <c r="EM39" s="1054">
        <f t="shared" si="124"/>
        <v>1.0831842042471964</v>
      </c>
      <c r="EN39" s="1054">
        <f t="shared" si="125"/>
        <v>0.48666785969935583</v>
      </c>
      <c r="EO39" s="1054">
        <f t="shared" si="126"/>
        <v>-5.0196850393700782E-2</v>
      </c>
      <c r="EP39" s="1066" t="str">
        <f t="shared" si="127"/>
        <v>ML3.5</v>
      </c>
      <c r="EQ39" s="794">
        <v>0</v>
      </c>
      <c r="ER39" s="795" t="str">
        <f t="shared" si="128"/>
        <v>ML1</v>
      </c>
      <c r="ES39" s="795" t="str">
        <f t="shared" si="138"/>
        <v>ML3.5</v>
      </c>
    </row>
    <row r="40" spans="1:149" s="504" customFormat="1" x14ac:dyDescent="0.25">
      <c r="A40" s="584" t="s">
        <v>240</v>
      </c>
      <c r="B40" s="930" t="str">
        <f>VLOOKUP($A40,'TIS Site Config'!$A$3:$AQ$51,2,FALSE)</f>
        <v>D16</v>
      </c>
      <c r="C40" s="934" t="str">
        <f>IF(VLOOKUP($A40,'TIS Site Config'!$A$3:$AQ$51,3,FALSE)&lt;&gt;"",
              VLOOKUP($A40,'TIS Site Config'!$A$3:$AQ$51,3,FALSE),"")</f>
        <v/>
      </c>
      <c r="D40" s="931" t="str">
        <f>VLOOKUP($A40,'TIS Site Config'!$A$3:$AQ$51,4,FALSE)</f>
        <v>Wind River Experimental Forest</v>
      </c>
      <c r="E40" s="784">
        <f t="shared" si="129"/>
        <v>8</v>
      </c>
      <c r="F40" s="864"/>
      <c r="G40" s="597">
        <v>0.3</v>
      </c>
      <c r="H40" s="597">
        <v>8</v>
      </c>
      <c r="I40" s="597">
        <v>20</v>
      </c>
      <c r="J40" s="597">
        <v>35</v>
      </c>
      <c r="K40" s="597">
        <v>42</v>
      </c>
      <c r="L40" s="597">
        <v>50</v>
      </c>
      <c r="M40" s="597">
        <v>60</v>
      </c>
      <c r="N40" s="826">
        <v>86</v>
      </c>
      <c r="O40" s="613">
        <v>237</v>
      </c>
      <c r="P40" s="619" t="s">
        <v>139</v>
      </c>
      <c r="Q40" s="770">
        <v>12</v>
      </c>
      <c r="R40" s="611">
        <v>1</v>
      </c>
      <c r="S40" s="611"/>
      <c r="T40" s="368"/>
      <c r="U40" s="368"/>
      <c r="V40" s="368"/>
      <c r="W40" s="368"/>
      <c r="X40" s="368"/>
      <c r="Y40" s="368"/>
      <c r="Z40" s="368"/>
      <c r="AA40" s="368"/>
      <c r="AB40" s="368"/>
      <c r="AC40" s="368"/>
      <c r="AD40" s="368"/>
      <c r="AE40" s="368"/>
      <c r="AF40" s="368"/>
      <c r="AG40" s="368"/>
      <c r="AH40" s="368"/>
      <c r="AI40" s="368"/>
      <c r="AJ40" s="368"/>
      <c r="AK40" s="602"/>
      <c r="AL40" s="819"/>
      <c r="AM40" s="773">
        <f t="shared" si="131"/>
        <v>5</v>
      </c>
      <c r="AN40" s="597"/>
      <c r="AO40" s="787">
        <f t="shared" si="145"/>
        <v>0.33333333333333331</v>
      </c>
      <c r="AP40" s="838">
        <v>0.3</v>
      </c>
      <c r="AQ40" s="839">
        <v>11</v>
      </c>
      <c r="AR40" s="839">
        <v>18</v>
      </c>
      <c r="AS40" s="839">
        <v>34.9</v>
      </c>
      <c r="AT40" s="839">
        <v>40.799999999999997</v>
      </c>
      <c r="AU40" s="839">
        <v>51.2</v>
      </c>
      <c r="AV40" s="839">
        <v>57.6</v>
      </c>
      <c r="AW40" s="840">
        <v>73</v>
      </c>
      <c r="AX40" s="860">
        <v>0.3</v>
      </c>
      <c r="AY40" s="852">
        <v>8</v>
      </c>
      <c r="AZ40" s="852">
        <v>20</v>
      </c>
      <c r="BA40" s="852">
        <v>35</v>
      </c>
      <c r="BB40" s="852">
        <v>42</v>
      </c>
      <c r="BC40" s="852">
        <v>50</v>
      </c>
      <c r="BD40" s="852">
        <v>60</v>
      </c>
      <c r="BE40" s="853">
        <v>86</v>
      </c>
      <c r="BF40" s="835">
        <f t="shared" si="147"/>
        <v>5.9174421379145796E-2</v>
      </c>
      <c r="BG40" s="836">
        <f t="shared" si="148"/>
        <v>3.2505368647100927</v>
      </c>
      <c r="BH40" s="836">
        <f t="shared" si="149"/>
        <v>5.3383440706275351</v>
      </c>
      <c r="BI40" s="836">
        <f t="shared" si="150"/>
        <v>10.378907182056789</v>
      </c>
      <c r="BJ40" s="836">
        <f t="shared" si="151"/>
        <v>12.138630398472918</v>
      </c>
      <c r="BK40" s="836">
        <f t="shared" si="152"/>
        <v>15.240515390121688</v>
      </c>
      <c r="BL40" s="836">
        <f t="shared" si="153"/>
        <v>17.14936769267478</v>
      </c>
      <c r="BM40" s="837">
        <f t="shared" si="154"/>
        <v>12</v>
      </c>
      <c r="BN40" s="800">
        <f t="shared" si="139"/>
        <v>1</v>
      </c>
      <c r="BO40" s="368">
        <f t="shared" ref="BO40:CC50" si="179">IF(VALUE(RIGHT(BO$3,2))&gt;MAX($BF40:$BM40)+1,"",SUMPRODUCT(($BF40:$BM40&gt;=VALUE((RIGHT(BO$3,2)-1)))*($BF40:$BM40&lt;VALUE((RIGHT(BO$3,2))))))</f>
        <v>0</v>
      </c>
      <c r="BP40" s="368">
        <f t="shared" si="179"/>
        <v>0</v>
      </c>
      <c r="BQ40" s="368">
        <f t="shared" si="179"/>
        <v>1</v>
      </c>
      <c r="BR40" s="368">
        <f t="shared" si="179"/>
        <v>0</v>
      </c>
      <c r="BS40" s="368">
        <f t="shared" si="179"/>
        <v>1</v>
      </c>
      <c r="BT40" s="368">
        <f t="shared" si="179"/>
        <v>0</v>
      </c>
      <c r="BU40" s="368">
        <f t="shared" si="179"/>
        <v>0</v>
      </c>
      <c r="BV40" s="368">
        <f t="shared" si="179"/>
        <v>0</v>
      </c>
      <c r="BW40" s="368">
        <f t="shared" si="179"/>
        <v>0</v>
      </c>
      <c r="BX40" s="368">
        <f t="shared" si="179"/>
        <v>1</v>
      </c>
      <c r="BY40" s="368">
        <f t="shared" si="179"/>
        <v>0</v>
      </c>
      <c r="BZ40" s="368">
        <f t="shared" si="179"/>
        <v>2</v>
      </c>
      <c r="CA40" s="368">
        <f t="shared" si="179"/>
        <v>0</v>
      </c>
      <c r="CB40" s="368">
        <f t="shared" si="179"/>
        <v>0</v>
      </c>
      <c r="CC40" s="368">
        <f t="shared" si="179"/>
        <v>1</v>
      </c>
      <c r="CD40" s="368">
        <f t="shared" ref="CD40:CE50" si="180">IF(VALUE(RIGHT(CD$3,2))&gt;MAX($BF40:$BM40)+1,"",SUMPRODUCT(($BF40:$BM40&gt;=VALUE((RIGHT(CD$3,2)-1)))*($BF40:$BM40&lt;VALUE((RIGHT(CD$3,2))))))</f>
        <v>0</v>
      </c>
      <c r="CE40" s="368">
        <f t="shared" si="180"/>
        <v>1</v>
      </c>
      <c r="CF40" s="797" t="str">
        <f t="shared" si="142"/>
        <v/>
      </c>
      <c r="CG40" s="803" t="str">
        <f t="shared" si="156"/>
        <v>B, p-thru above</v>
      </c>
      <c r="CH40" s="591" t="str">
        <f t="shared" si="157"/>
        <v>p-thru</v>
      </c>
      <c r="CI40" s="591" t="str">
        <f t="shared" si="158"/>
        <v>ML</v>
      </c>
      <c r="CJ40" s="591" t="str">
        <f t="shared" si="159"/>
        <v>p-thru</v>
      </c>
      <c r="CK40" s="591" t="str">
        <f t="shared" si="160"/>
        <v>ML</v>
      </c>
      <c r="CL40" s="591" t="str">
        <f t="shared" si="161"/>
        <v>p-thru</v>
      </c>
      <c r="CM40" s="591" t="str">
        <f t="shared" si="162"/>
        <v>p-thru</v>
      </c>
      <c r="CN40" s="591" t="str">
        <f t="shared" si="163"/>
        <v>p-thru</v>
      </c>
      <c r="CO40" s="591" t="str">
        <f t="shared" si="164"/>
        <v>p-thru</v>
      </c>
      <c r="CP40" s="591" t="str">
        <f t="shared" si="165"/>
        <v>ML</v>
      </c>
      <c r="CQ40" s="591" t="str">
        <f t="shared" si="166"/>
        <v>p-thru</v>
      </c>
      <c r="CR40" s="591" t="str">
        <f t="shared" si="167"/>
        <v>ML</v>
      </c>
      <c r="CS40" s="591" t="str">
        <f t="shared" si="168"/>
        <v>ML</v>
      </c>
      <c r="CT40" s="591" t="str">
        <f t="shared" si="169"/>
        <v>p-thru</v>
      </c>
      <c r="CU40" s="591" t="str">
        <f t="shared" si="170"/>
        <v>ML</v>
      </c>
      <c r="CV40" s="591" t="str">
        <f t="shared" si="171"/>
        <v>p-thru</v>
      </c>
      <c r="CW40" s="591" t="str">
        <f t="shared" si="172"/>
        <v>TOP</v>
      </c>
      <c r="CX40" s="804" t="str">
        <f t="shared" si="173"/>
        <v/>
      </c>
      <c r="CY40" s="813">
        <f>IF(VLOOKUP(A40,'TIS Site Config'!$A$4:$AQ$51,6,FALSE)="Non-heated",COUNTIF($CG40:$CX40,$DT$3),0)</f>
        <v>0</v>
      </c>
      <c r="CZ40" s="592">
        <f>IF(OR(VLOOKUP(A40,'TIS Site Config'!$A$4:$AQ$51,6,FALSE)="Heated",VLOOKUP(A40,'TIS Site Config'!$A$4:$AQ$51,6,FALSE)="Extreme Heated"),COUNTIF($CG40:$CX40,$DT$3),0)</f>
        <v>1</v>
      </c>
      <c r="DA40" s="592">
        <f>IF(VLOOKUP(A40,'TIS Site Config'!$A$4:$AQ$51,6,FALSE)="Non-heated",COUNTIF($CG40:$CX40,$DU$3),0)</f>
        <v>0</v>
      </c>
      <c r="DB40" s="592">
        <f>IF(OR(VLOOKUP(A40,'TIS Site Config'!$A$4:$AQ$51,6,FALSE)="Heated",VLOOKUP(A40,'TIS Site Config'!$A$4:$AQ$51,6,FALSE)="Extreme heated"),COUNTIF($CG40:$CX40,$DU$3),0)</f>
        <v>0</v>
      </c>
      <c r="DC40" s="592">
        <f>IF(VLOOKUP(A40,'TIS Site Config'!$A$4:$AQ$51,6,FALSE)="Non-heated",COUNTIF($CG40:$CX40,$DW$3),0)</f>
        <v>0</v>
      </c>
      <c r="DD40" s="592">
        <f>IF(OR(VLOOKUP(A40,'TIS Site Config'!$A$4:$AQ$51,6,FALSE)="Heated",VLOOKUP(A40,'TIS Site Config'!$A$4:$AQ$51,6,FALSE)="Extreme heated"),COUNTIF($CG40:$CX40,$DW$3),0)</f>
        <v>6</v>
      </c>
      <c r="DE40" s="592">
        <f t="shared" si="132"/>
        <v>9</v>
      </c>
      <c r="DF40" s="592">
        <f>IF(VLOOKUP(A40,'TIS Site Config'!$A$4:$AQ$51,6,FALSE)="Non-heated",COUNTIF($CG40:$CX40,$DX$3),0)</f>
        <v>0</v>
      </c>
      <c r="DG40" s="592">
        <f>IF(OR(VLOOKUP(A40,'TIS Site Config'!$A$4:$AQ$51,6,FALSE)="Heated",VLOOKUP(A40,'TIS Site Config'!$A$4:$AQ$51,6,FALSE)="Extreme heated"),COUNTIF($CG40:$CX40,$DX$3),0)</f>
        <v>1</v>
      </c>
      <c r="DH40" s="814"/>
      <c r="DI40" s="810">
        <f t="shared" si="133"/>
        <v>0</v>
      </c>
      <c r="DJ40" s="355">
        <f t="shared" si="134"/>
        <v>0</v>
      </c>
      <c r="DK40" s="355">
        <f t="shared" si="135"/>
        <v>7</v>
      </c>
      <c r="DL40" s="603">
        <v>1</v>
      </c>
      <c r="DM40" s="604">
        <f t="shared" si="146"/>
        <v>8</v>
      </c>
      <c r="DN40" s="883">
        <f t="shared" si="136"/>
        <v>0</v>
      </c>
      <c r="DO40" s="593">
        <f t="shared" si="174"/>
        <v>4</v>
      </c>
      <c r="DP40" s="593">
        <f t="shared" si="175"/>
        <v>6</v>
      </c>
      <c r="DR40" s="504">
        <f t="shared" si="176"/>
        <v>0</v>
      </c>
      <c r="DS40" s="504">
        <f t="shared" si="177"/>
        <v>0</v>
      </c>
      <c r="DT40" s="504">
        <f t="shared" si="178"/>
        <v>0</v>
      </c>
      <c r="DZ40" s="835">
        <f t="shared" si="137"/>
        <v>5.9174421379145796E-2</v>
      </c>
      <c r="EA40" s="836">
        <f t="shared" si="112"/>
        <v>3.2505368647100927</v>
      </c>
      <c r="EB40" s="836">
        <f t="shared" si="113"/>
        <v>5.3383440706275351</v>
      </c>
      <c r="EC40" s="836">
        <f t="shared" si="114"/>
        <v>10.378907182056789</v>
      </c>
      <c r="ED40" s="836">
        <f t="shared" si="115"/>
        <v>12.138630398472918</v>
      </c>
      <c r="EE40" s="836">
        <f t="shared" si="116"/>
        <v>15.240515390121688</v>
      </c>
      <c r="EF40" s="836">
        <f t="shared" si="117"/>
        <v>17.14936769267478</v>
      </c>
      <c r="EG40" s="837">
        <f t="shared" si="118"/>
        <v>12</v>
      </c>
      <c r="EH40" s="1053">
        <f t="shared" si="119"/>
        <v>12</v>
      </c>
      <c r="EI40" s="1053">
        <f t="shared" si="120"/>
        <v>17.14936769267478</v>
      </c>
      <c r="EJ40" s="1053">
        <f t="shared" si="121"/>
        <v>15.240515390121688</v>
      </c>
      <c r="EK40" s="1053">
        <f t="shared" si="122"/>
        <v>12.138630398472918</v>
      </c>
      <c r="EL40" s="1053">
        <f t="shared" si="123"/>
        <v>10.378907182056789</v>
      </c>
      <c r="EM40" s="1053">
        <f t="shared" si="124"/>
        <v>5.3383440706275351</v>
      </c>
      <c r="EN40" s="1053">
        <f t="shared" si="125"/>
        <v>3.2505368647100927</v>
      </c>
      <c r="EO40" s="1053">
        <f t="shared" si="126"/>
        <v>5.9174421379145796E-2</v>
      </c>
      <c r="EP40" s="1067" t="str">
        <f t="shared" si="127"/>
        <v>ML1.5</v>
      </c>
      <c r="EQ40" s="835">
        <v>0</v>
      </c>
      <c r="ER40" s="837" t="e">
        <f t="shared" si="128"/>
        <v>#N/A</v>
      </c>
      <c r="ES40" s="837" t="str">
        <f t="shared" si="138"/>
        <v>ML7.5</v>
      </c>
    </row>
    <row r="41" spans="1:149" s="504" customFormat="1" ht="15.75" thickBot="1" x14ac:dyDescent="0.3">
      <c r="A41" s="377" t="s">
        <v>222</v>
      </c>
      <c r="B41" s="751" t="str">
        <f>VLOOKUP($A41,'TIS Site Config'!$A$3:$AQ$51,2,FALSE)</f>
        <v>D16</v>
      </c>
      <c r="C41" s="751" t="str">
        <f>IF(VLOOKUP($A41,'TIS Site Config'!$A$3:$AQ$51,3,FALSE)&lt;&gt;"",
              VLOOKUP($A41,'TIS Site Config'!$A$3:$AQ$51,3,FALSE),"")</f>
        <v>D-FY15-3</v>
      </c>
      <c r="D41" s="933" t="str">
        <f>VLOOKUP($A41,'TIS Site Config'!$A$3:$AQ$51,4,FALSE)</f>
        <v>Abby Road</v>
      </c>
      <c r="E41" s="786">
        <f t="shared" si="129"/>
        <v>5</v>
      </c>
      <c r="F41" s="866"/>
      <c r="G41" s="373">
        <v>0.3</v>
      </c>
      <c r="H41" s="373">
        <v>4.5</v>
      </c>
      <c r="I41" s="373">
        <v>9.5</v>
      </c>
      <c r="J41" s="373">
        <v>12.77</v>
      </c>
      <c r="K41" s="373">
        <v>18</v>
      </c>
      <c r="L41" s="373"/>
      <c r="M41" s="373"/>
      <c r="N41" s="374"/>
      <c r="O41" s="617">
        <v>61</v>
      </c>
      <c r="P41" s="618" t="s">
        <v>138</v>
      </c>
      <c r="Q41" s="772">
        <f t="shared" si="130"/>
        <v>5</v>
      </c>
      <c r="R41" s="620">
        <v>1</v>
      </c>
      <c r="S41" s="620"/>
      <c r="T41" s="371" t="s">
        <v>204</v>
      </c>
      <c r="U41" s="371" t="s">
        <v>204</v>
      </c>
      <c r="V41" s="371" t="s">
        <v>204</v>
      </c>
      <c r="W41" s="371" t="s">
        <v>203</v>
      </c>
      <c r="X41" s="371" t="s">
        <v>203</v>
      </c>
      <c r="Y41" s="371"/>
      <c r="Z41" s="371"/>
      <c r="AA41" s="371"/>
      <c r="AB41" s="371"/>
      <c r="AC41" s="371"/>
      <c r="AD41" s="371"/>
      <c r="AE41" s="371"/>
      <c r="AF41" s="371"/>
      <c r="AG41" s="371"/>
      <c r="AH41" s="371"/>
      <c r="AI41" s="371"/>
      <c r="AJ41" s="371"/>
      <c r="AK41" s="608"/>
      <c r="AL41" s="375">
        <v>10.5</v>
      </c>
      <c r="AM41" s="775">
        <f t="shared" si="131"/>
        <v>33</v>
      </c>
      <c r="AN41" s="373"/>
      <c r="AO41" s="789">
        <f t="shared" si="145"/>
        <v>2.6666666666666665</v>
      </c>
      <c r="AP41" s="844">
        <v>0.3</v>
      </c>
      <c r="AQ41" s="845">
        <v>4.5</v>
      </c>
      <c r="AR41" s="845">
        <v>9.5</v>
      </c>
      <c r="AS41" s="845">
        <v>12.77</v>
      </c>
      <c r="AT41" s="845">
        <v>18</v>
      </c>
      <c r="AU41" s="845"/>
      <c r="AV41" s="845"/>
      <c r="AW41" s="846"/>
      <c r="AX41" s="857">
        <v>0.3</v>
      </c>
      <c r="AY41" s="858">
        <v>4.5</v>
      </c>
      <c r="AZ41" s="858">
        <v>9.5</v>
      </c>
      <c r="BA41" s="858">
        <v>12.77</v>
      </c>
      <c r="BB41" s="858">
        <v>18</v>
      </c>
      <c r="BC41" s="858">
        <v>0</v>
      </c>
      <c r="BD41" s="858">
        <v>0</v>
      </c>
      <c r="BE41" s="859">
        <v>0</v>
      </c>
      <c r="BF41" s="794">
        <f t="shared" si="147"/>
        <v>-0.15294679074206632</v>
      </c>
      <c r="BG41" s="599">
        <f t="shared" si="148"/>
        <v>1.0997375328083991</v>
      </c>
      <c r="BH41" s="599">
        <f t="shared" si="149"/>
        <v>2.5910283941780006</v>
      </c>
      <c r="BI41" s="599">
        <f t="shared" si="150"/>
        <v>3.5663326175137202</v>
      </c>
      <c r="BJ41" s="599">
        <f t="shared" si="151"/>
        <v>5</v>
      </c>
      <c r="BK41" s="599">
        <f t="shared" si="152"/>
        <v>0</v>
      </c>
      <c r="BL41" s="599">
        <f t="shared" si="153"/>
        <v>0</v>
      </c>
      <c r="BM41" s="795">
        <f t="shared" si="154"/>
        <v>0</v>
      </c>
      <c r="BN41" s="802">
        <f t="shared" si="139"/>
        <v>1</v>
      </c>
      <c r="BO41" s="371">
        <f t="shared" si="179"/>
        <v>1</v>
      </c>
      <c r="BP41" s="371">
        <f t="shared" si="179"/>
        <v>1</v>
      </c>
      <c r="BQ41" s="371">
        <f t="shared" si="179"/>
        <v>1</v>
      </c>
      <c r="BR41" s="371">
        <f t="shared" si="179"/>
        <v>0</v>
      </c>
      <c r="BS41" s="371">
        <f t="shared" si="179"/>
        <v>1</v>
      </c>
      <c r="BT41" s="371" t="str">
        <f t="shared" si="179"/>
        <v/>
      </c>
      <c r="BU41" s="371" t="str">
        <f t="shared" si="179"/>
        <v/>
      </c>
      <c r="BV41" s="371" t="str">
        <f t="shared" si="179"/>
        <v/>
      </c>
      <c r="BW41" s="371" t="str">
        <f t="shared" si="179"/>
        <v/>
      </c>
      <c r="BX41" s="371" t="str">
        <f t="shared" si="179"/>
        <v/>
      </c>
      <c r="BY41" s="371" t="str">
        <f t="shared" si="179"/>
        <v/>
      </c>
      <c r="BZ41" s="371" t="str">
        <f t="shared" si="179"/>
        <v/>
      </c>
      <c r="CA41" s="371" t="str">
        <f t="shared" si="179"/>
        <v/>
      </c>
      <c r="CB41" s="371" t="str">
        <f t="shared" si="179"/>
        <v/>
      </c>
      <c r="CC41" s="371" t="str">
        <f t="shared" si="179"/>
        <v/>
      </c>
      <c r="CD41" s="371" t="str">
        <f t="shared" si="180"/>
        <v/>
      </c>
      <c r="CE41" s="371" t="str">
        <f t="shared" si="180"/>
        <v/>
      </c>
      <c r="CF41" s="799" t="str">
        <f t="shared" si="142"/>
        <v/>
      </c>
      <c r="CG41" s="807" t="str">
        <f t="shared" si="156"/>
        <v>B, ML above</v>
      </c>
      <c r="CH41" s="595" t="str">
        <f t="shared" si="157"/>
        <v>ML</v>
      </c>
      <c r="CI41" s="595" t="str">
        <f t="shared" si="158"/>
        <v>ML</v>
      </c>
      <c r="CJ41" s="595" t="str">
        <f t="shared" si="159"/>
        <v>p-thru</v>
      </c>
      <c r="CK41" s="595" t="str">
        <f t="shared" si="160"/>
        <v>TOP</v>
      </c>
      <c r="CL41" s="595" t="str">
        <f t="shared" si="161"/>
        <v/>
      </c>
      <c r="CM41" s="595" t="str">
        <f t="shared" si="162"/>
        <v/>
      </c>
      <c r="CN41" s="595" t="str">
        <f t="shared" si="163"/>
        <v/>
      </c>
      <c r="CO41" s="595" t="str">
        <f t="shared" si="164"/>
        <v/>
      </c>
      <c r="CP41" s="595" t="str">
        <f t="shared" si="165"/>
        <v/>
      </c>
      <c r="CQ41" s="595" t="str">
        <f t="shared" si="166"/>
        <v/>
      </c>
      <c r="CR41" s="595" t="str">
        <f t="shared" si="167"/>
        <v/>
      </c>
      <c r="CS41" s="595" t="str">
        <f t="shared" si="168"/>
        <v/>
      </c>
      <c r="CT41" s="595" t="str">
        <f t="shared" si="169"/>
        <v/>
      </c>
      <c r="CU41" s="595" t="str">
        <f t="shared" si="170"/>
        <v/>
      </c>
      <c r="CV41" s="595" t="str">
        <f t="shared" si="171"/>
        <v/>
      </c>
      <c r="CW41" s="595" t="str">
        <f t="shared" si="172"/>
        <v/>
      </c>
      <c r="CX41" s="808" t="str">
        <f t="shared" si="173"/>
        <v/>
      </c>
      <c r="CY41" s="816">
        <f>IF(VLOOKUP(A41,'TIS Site Config'!$A$4:$AQ$51,6,FALSE)="Non-heated",COUNTIF($CG41:$CX41,$DT$3),0)</f>
        <v>0</v>
      </c>
      <c r="CZ41" s="596">
        <f>IF(OR(VLOOKUP(A41,'TIS Site Config'!$A$4:$AQ$51,6,FALSE)="Heated",VLOOKUP(A41,'TIS Site Config'!$A$4:$AQ$51,6,FALSE)="Extreme Heated"),COUNTIF($CG41:$CX41,$DT$3),0)</f>
        <v>0</v>
      </c>
      <c r="DA41" s="596">
        <f>IF(VLOOKUP(A41,'TIS Site Config'!$A$4:$AQ$51,6,FALSE)="Non-heated",COUNTIF($CG41:$CX41,$DU$3),0)</f>
        <v>0</v>
      </c>
      <c r="DB41" s="596">
        <f>IF(OR(VLOOKUP(A41,'TIS Site Config'!$A$4:$AQ$51,6,FALSE)="Heated",VLOOKUP(A41,'TIS Site Config'!$A$4:$AQ$51,6,FALSE)="Extreme heated"),COUNTIF($CG41:$CX41,$DU$3),0)</f>
        <v>1</v>
      </c>
      <c r="DC41" s="596">
        <f>IF(VLOOKUP(A41,'TIS Site Config'!$A$4:$AQ$51,6,FALSE)="Non-heated",COUNTIF($CG41:$CX41,$DW$3),0)</f>
        <v>0</v>
      </c>
      <c r="DD41" s="596">
        <f>IF(OR(VLOOKUP(A41,'TIS Site Config'!$A$4:$AQ$51,6,FALSE)="Heated",VLOOKUP(A41,'TIS Site Config'!$A$4:$AQ$51,6,FALSE)="Extreme heated"),COUNTIF($CG41:$CX41,$DW$3),0)</f>
        <v>2</v>
      </c>
      <c r="DE41" s="596">
        <f t="shared" si="132"/>
        <v>1</v>
      </c>
      <c r="DF41" s="596">
        <f>IF(VLOOKUP(A41,'TIS Site Config'!$A$4:$AQ$51,6,FALSE)="Non-heated",COUNTIF($CG41:$CX41,$DX$3),0)</f>
        <v>0</v>
      </c>
      <c r="DG41" s="596">
        <f>IF(OR(VLOOKUP(A41,'TIS Site Config'!$A$4:$AQ$51,6,FALSE)="Heated",VLOOKUP(A41,'TIS Site Config'!$A$4:$AQ$51,6,FALSE)="Extreme heated"),COUNTIF($CG41:$CX41,$DX$3),0)</f>
        <v>1</v>
      </c>
      <c r="DH41" s="817"/>
      <c r="DI41" s="791">
        <f t="shared" si="133"/>
        <v>2</v>
      </c>
      <c r="DJ41" s="365">
        <f t="shared" si="134"/>
        <v>2</v>
      </c>
      <c r="DK41" s="365">
        <f t="shared" si="135"/>
        <v>0</v>
      </c>
      <c r="DL41" s="376">
        <v>1</v>
      </c>
      <c r="DM41" s="609">
        <f t="shared" si="146"/>
        <v>5</v>
      </c>
      <c r="DN41" s="883">
        <f t="shared" si="136"/>
        <v>0</v>
      </c>
      <c r="DO41" s="593">
        <f t="shared" si="174"/>
        <v>2</v>
      </c>
      <c r="DP41" s="593">
        <f t="shared" si="175"/>
        <v>3</v>
      </c>
      <c r="DR41" s="504">
        <f t="shared" si="176"/>
        <v>2</v>
      </c>
      <c r="DS41" s="504">
        <f t="shared" si="177"/>
        <v>3</v>
      </c>
      <c r="DT41" s="504">
        <f t="shared" si="178"/>
        <v>0</v>
      </c>
      <c r="DZ41" s="794">
        <f t="shared" si="137"/>
        <v>-0.15294679074206632</v>
      </c>
      <c r="EA41" s="599">
        <f t="shared" si="112"/>
        <v>1.0997375328083991</v>
      </c>
      <c r="EB41" s="599">
        <f t="shared" si="113"/>
        <v>2.5910283941780006</v>
      </c>
      <c r="EC41" s="599">
        <f t="shared" si="114"/>
        <v>3.5663326175137202</v>
      </c>
      <c r="ED41" s="599">
        <f t="shared" si="115"/>
        <v>5</v>
      </c>
      <c r="EE41" s="599">
        <f t="shared" si="116"/>
        <v>100</v>
      </c>
      <c r="EF41" s="599">
        <f t="shared" si="117"/>
        <v>100</v>
      </c>
      <c r="EG41" s="795">
        <f t="shared" si="118"/>
        <v>100</v>
      </c>
      <c r="EH41" s="1054">
        <f t="shared" si="119"/>
        <v>100</v>
      </c>
      <c r="EI41" s="1054">
        <f t="shared" si="120"/>
        <v>100</v>
      </c>
      <c r="EJ41" s="1054">
        <f t="shared" si="121"/>
        <v>100</v>
      </c>
      <c r="EK41" s="1054">
        <f t="shared" si="122"/>
        <v>5</v>
      </c>
      <c r="EL41" s="1054">
        <f t="shared" si="123"/>
        <v>3.5663326175137202</v>
      </c>
      <c r="EM41" s="1054">
        <f t="shared" si="124"/>
        <v>2.5910283941780006</v>
      </c>
      <c r="EN41" s="1054">
        <f t="shared" si="125"/>
        <v>1.0997375328083991</v>
      </c>
      <c r="EO41" s="1054">
        <f t="shared" si="126"/>
        <v>-0.15294679074206632</v>
      </c>
      <c r="EP41" s="1070" t="str">
        <f t="shared" si="127"/>
        <v>ML2.5</v>
      </c>
      <c r="EQ41" s="794"/>
      <c r="ER41" s="795" t="str">
        <f t="shared" si="128"/>
        <v>ML1</v>
      </c>
      <c r="ES41" s="795" t="str">
        <f t="shared" si="138"/>
        <v>ML4.5</v>
      </c>
    </row>
    <row r="42" spans="1:149" s="504" customFormat="1" x14ac:dyDescent="0.25">
      <c r="A42" s="584" t="s">
        <v>241</v>
      </c>
      <c r="B42" s="930" t="str">
        <f>VLOOKUP($A42,'TIS Site Config'!$A$3:$AQ$51,2,FALSE)</f>
        <v>D17</v>
      </c>
      <c r="C42" s="934" t="str">
        <f>IF(VLOOKUP($A42,'TIS Site Config'!$A$3:$AQ$51,3,FALSE)&lt;&gt;"",
              VLOOKUP($A42,'TIS Site Config'!$A$3:$AQ$51,3,FALSE),"")</f>
        <v/>
      </c>
      <c r="D42" s="931" t="str">
        <f>VLOOKUP($A42,'TIS Site Config'!$A$3:$AQ$51,4,FALSE)</f>
        <v>San Joaquin</v>
      </c>
      <c r="E42" s="784">
        <f t="shared" si="129"/>
        <v>6</v>
      </c>
      <c r="F42" s="864"/>
      <c r="G42" s="597">
        <v>0.3</v>
      </c>
      <c r="H42" s="597">
        <v>0.6</v>
      </c>
      <c r="I42" s="597">
        <v>5</v>
      </c>
      <c r="J42" s="597">
        <v>21</v>
      </c>
      <c r="K42" s="597">
        <v>24</v>
      </c>
      <c r="L42" s="597">
        <v>36</v>
      </c>
      <c r="M42" s="597"/>
      <c r="N42" s="826"/>
      <c r="O42" s="613">
        <v>127</v>
      </c>
      <c r="P42" s="614" t="s">
        <v>138</v>
      </c>
      <c r="Q42" s="770">
        <f t="shared" si="130"/>
        <v>11</v>
      </c>
      <c r="R42" s="611">
        <v>1</v>
      </c>
      <c r="S42" s="611"/>
      <c r="T42" s="368" t="s">
        <v>203</v>
      </c>
      <c r="U42" s="368" t="s">
        <v>203</v>
      </c>
      <c r="V42" s="368" t="s">
        <v>203</v>
      </c>
      <c r="W42" s="368" t="s">
        <v>203</v>
      </c>
      <c r="X42" s="368" t="s">
        <v>203</v>
      </c>
      <c r="Y42" s="368" t="s">
        <v>203</v>
      </c>
      <c r="Z42" s="368" t="s">
        <v>203</v>
      </c>
      <c r="AA42" s="368" t="s">
        <v>203</v>
      </c>
      <c r="AB42" s="368" t="s">
        <v>203</v>
      </c>
      <c r="AC42" s="368" t="s">
        <v>203</v>
      </c>
      <c r="AD42" s="368" t="s">
        <v>203</v>
      </c>
      <c r="AE42" s="368"/>
      <c r="AF42" s="368"/>
      <c r="AG42" s="368"/>
      <c r="AH42" s="368"/>
      <c r="AI42" s="368"/>
      <c r="AJ42" s="368"/>
      <c r="AK42" s="602"/>
      <c r="AL42" s="819">
        <v>3</v>
      </c>
      <c r="AM42" s="773">
        <f t="shared" si="131"/>
        <v>25.5</v>
      </c>
      <c r="AN42" s="597"/>
      <c r="AO42" s="787">
        <f t="shared" si="145"/>
        <v>2.0416666666666665</v>
      </c>
      <c r="AP42" s="838">
        <v>0.3</v>
      </c>
      <c r="AQ42" s="839">
        <v>0.6</v>
      </c>
      <c r="AR42" s="839">
        <v>5</v>
      </c>
      <c r="AS42" s="839">
        <v>21</v>
      </c>
      <c r="AT42" s="839">
        <v>24</v>
      </c>
      <c r="AU42" s="839">
        <v>36</v>
      </c>
      <c r="AV42" s="839"/>
      <c r="AW42" s="840"/>
      <c r="AX42" s="860">
        <v>0.3</v>
      </c>
      <c r="AY42" s="852">
        <v>0.6</v>
      </c>
      <c r="AZ42" s="852">
        <v>5</v>
      </c>
      <c r="BA42" s="852">
        <v>21</v>
      </c>
      <c r="BB42" s="852">
        <v>24</v>
      </c>
      <c r="BC42" s="852">
        <v>36</v>
      </c>
      <c r="BD42" s="852">
        <v>0</v>
      </c>
      <c r="BE42" s="853">
        <v>0</v>
      </c>
      <c r="BF42" s="835">
        <f t="shared" si="147"/>
        <v>-9.6128608923884501E-2</v>
      </c>
      <c r="BG42" s="836">
        <f t="shared" si="148"/>
        <v>-6.6511572417084046E-3</v>
      </c>
      <c r="BH42" s="836">
        <f t="shared" si="149"/>
        <v>1.3056848007635411</v>
      </c>
      <c r="BI42" s="836">
        <f t="shared" si="150"/>
        <v>6.0778155571462653</v>
      </c>
      <c r="BJ42" s="836">
        <f t="shared" si="151"/>
        <v>6.9725900739680267</v>
      </c>
      <c r="BK42" s="836">
        <f t="shared" si="152"/>
        <v>11</v>
      </c>
      <c r="BL42" s="836">
        <f t="shared" si="153"/>
        <v>0</v>
      </c>
      <c r="BM42" s="837">
        <f t="shared" si="154"/>
        <v>0</v>
      </c>
      <c r="BN42" s="800">
        <f t="shared" si="139"/>
        <v>2</v>
      </c>
      <c r="BO42" s="368">
        <f t="shared" si="179"/>
        <v>1</v>
      </c>
      <c r="BP42" s="368">
        <f t="shared" si="179"/>
        <v>0</v>
      </c>
      <c r="BQ42" s="368">
        <f t="shared" si="179"/>
        <v>0</v>
      </c>
      <c r="BR42" s="368">
        <f t="shared" si="179"/>
        <v>0</v>
      </c>
      <c r="BS42" s="368">
        <f t="shared" si="179"/>
        <v>0</v>
      </c>
      <c r="BT42" s="368">
        <f t="shared" si="179"/>
        <v>2</v>
      </c>
      <c r="BU42" s="368">
        <f t="shared" si="179"/>
        <v>0</v>
      </c>
      <c r="BV42" s="368">
        <f t="shared" si="179"/>
        <v>0</v>
      </c>
      <c r="BW42" s="368">
        <f t="shared" si="179"/>
        <v>0</v>
      </c>
      <c r="BX42" s="368">
        <f t="shared" si="179"/>
        <v>0</v>
      </c>
      <c r="BY42" s="368">
        <f t="shared" si="179"/>
        <v>1</v>
      </c>
      <c r="BZ42" s="368" t="str">
        <f t="shared" si="179"/>
        <v/>
      </c>
      <c r="CA42" s="368" t="str">
        <f t="shared" si="179"/>
        <v/>
      </c>
      <c r="CB42" s="368" t="str">
        <f t="shared" si="179"/>
        <v/>
      </c>
      <c r="CC42" s="368" t="str">
        <f t="shared" si="179"/>
        <v/>
      </c>
      <c r="CD42" s="368" t="str">
        <f t="shared" si="180"/>
        <v/>
      </c>
      <c r="CE42" s="368" t="str">
        <f t="shared" si="180"/>
        <v/>
      </c>
      <c r="CF42" s="797" t="str">
        <f t="shared" si="142"/>
        <v/>
      </c>
      <c r="CG42" s="803" t="str">
        <f t="shared" si="156"/>
        <v>B, ML above</v>
      </c>
      <c r="CH42" s="591" t="str">
        <f t="shared" si="157"/>
        <v>p-thru</v>
      </c>
      <c r="CI42" s="591" t="str">
        <f t="shared" si="158"/>
        <v>p-thru</v>
      </c>
      <c r="CJ42" s="591" t="str">
        <f t="shared" si="159"/>
        <v>p-thru</v>
      </c>
      <c r="CK42" s="591" t="str">
        <f t="shared" si="160"/>
        <v>p-thru</v>
      </c>
      <c r="CL42" s="591" t="str">
        <f t="shared" si="161"/>
        <v>ML</v>
      </c>
      <c r="CM42" s="591" t="str">
        <f t="shared" si="162"/>
        <v>ML</v>
      </c>
      <c r="CN42" s="591" t="str">
        <f t="shared" si="163"/>
        <v>p-thru</v>
      </c>
      <c r="CO42" s="591" t="str">
        <f t="shared" si="164"/>
        <v>p-thru</v>
      </c>
      <c r="CP42" s="591" t="str">
        <f t="shared" si="165"/>
        <v>p-thru</v>
      </c>
      <c r="CQ42" s="591" t="str">
        <f t="shared" si="166"/>
        <v>TOP</v>
      </c>
      <c r="CR42" s="591" t="str">
        <f t="shared" si="167"/>
        <v/>
      </c>
      <c r="CS42" s="591" t="str">
        <f t="shared" si="168"/>
        <v/>
      </c>
      <c r="CT42" s="591" t="str">
        <f t="shared" si="169"/>
        <v/>
      </c>
      <c r="CU42" s="591" t="str">
        <f t="shared" si="170"/>
        <v/>
      </c>
      <c r="CV42" s="591" t="str">
        <f t="shared" si="171"/>
        <v/>
      </c>
      <c r="CW42" s="591" t="str">
        <f t="shared" si="172"/>
        <v/>
      </c>
      <c r="CX42" s="804" t="str">
        <f t="shared" si="173"/>
        <v/>
      </c>
      <c r="CY42" s="813">
        <f>IF(VLOOKUP(A42,'TIS Site Config'!$A$4:$AQ$51,6,FALSE)="Non-heated",COUNTIF($CG42:$CX42,$DT$3),0)</f>
        <v>0</v>
      </c>
      <c r="CZ42" s="592">
        <f>IF(OR(VLOOKUP(A42,'TIS Site Config'!$A$4:$AQ$51,6,FALSE)="Heated",VLOOKUP(A42,'TIS Site Config'!$A$4:$AQ$51,6,FALSE)="Extreme Heated"),COUNTIF($CG42:$CX42,$DT$3),0)</f>
        <v>0</v>
      </c>
      <c r="DA42" s="592">
        <f>IF(VLOOKUP(A42,'TIS Site Config'!$A$4:$AQ$51,6,FALSE)="Non-heated",COUNTIF($CG42:$CX42,$DU$3),0)</f>
        <v>0</v>
      </c>
      <c r="DB42" s="592">
        <f>IF(OR(VLOOKUP(A42,'TIS Site Config'!$A$4:$AQ$51,6,FALSE)="Heated",VLOOKUP(A42,'TIS Site Config'!$A$4:$AQ$51,6,FALSE)="Extreme heated"),COUNTIF($CG42:$CX42,$DU$3),0)</f>
        <v>1</v>
      </c>
      <c r="DC42" s="592">
        <f>IF(VLOOKUP(A42,'TIS Site Config'!$A$4:$AQ$51,6,FALSE)="Non-heated",COUNTIF($CG42:$CX42,$DW$3),0)</f>
        <v>0</v>
      </c>
      <c r="DD42" s="592">
        <f>IF(OR(VLOOKUP(A42,'TIS Site Config'!$A$4:$AQ$51,6,FALSE)="Heated",VLOOKUP(A42,'TIS Site Config'!$A$4:$AQ$51,6,FALSE)="Extreme heated"),COUNTIF($CG42:$CX42,$DW$3),0)</f>
        <v>2</v>
      </c>
      <c r="DE42" s="592">
        <f t="shared" si="132"/>
        <v>7</v>
      </c>
      <c r="DF42" s="592">
        <f>IF(VLOOKUP(A42,'TIS Site Config'!$A$4:$AQ$51,6,FALSE)="Non-heated",COUNTIF($CG42:$CX42,$DX$3),0)</f>
        <v>0</v>
      </c>
      <c r="DG42" s="592">
        <f>IF(OR(VLOOKUP(A42,'TIS Site Config'!$A$4:$AQ$51,6,FALSE)="Heated",VLOOKUP(A42,'TIS Site Config'!$A$4:$AQ$51,6,FALSE)="Extreme heated"),COUNTIF($CG42:$CX42,$DX$3),0)</f>
        <v>1</v>
      </c>
      <c r="DH42" s="814"/>
      <c r="DI42" s="810">
        <f t="shared" si="133"/>
        <v>0</v>
      </c>
      <c r="DJ42" s="355">
        <f t="shared" si="134"/>
        <v>0</v>
      </c>
      <c r="DK42" s="355">
        <f t="shared" si="135"/>
        <v>5</v>
      </c>
      <c r="DL42" s="603">
        <v>1</v>
      </c>
      <c r="DM42" s="604">
        <f t="shared" si="146"/>
        <v>6</v>
      </c>
      <c r="DN42" s="883">
        <f t="shared" si="136"/>
        <v>0</v>
      </c>
      <c r="DO42" s="593">
        <f t="shared" si="174"/>
        <v>1</v>
      </c>
      <c r="DP42" s="593">
        <f t="shared" si="175"/>
        <v>2</v>
      </c>
      <c r="DR42" s="504">
        <f t="shared" si="176"/>
        <v>11</v>
      </c>
      <c r="DS42" s="504">
        <f t="shared" si="177"/>
        <v>0</v>
      </c>
      <c r="DT42" s="504">
        <f t="shared" si="178"/>
        <v>0</v>
      </c>
      <c r="DZ42" s="835">
        <f t="shared" si="137"/>
        <v>-9.6128608923884501E-2</v>
      </c>
      <c r="EA42" s="836">
        <f t="shared" si="112"/>
        <v>-6.6511572417084046E-3</v>
      </c>
      <c r="EB42" s="836">
        <f t="shared" si="113"/>
        <v>1.3056848007635411</v>
      </c>
      <c r="EC42" s="836">
        <f t="shared" si="114"/>
        <v>6.0778155571462653</v>
      </c>
      <c r="ED42" s="836">
        <f t="shared" si="115"/>
        <v>6.9725900739680267</v>
      </c>
      <c r="EE42" s="836">
        <f t="shared" si="116"/>
        <v>11</v>
      </c>
      <c r="EF42" s="836">
        <f t="shared" si="117"/>
        <v>100</v>
      </c>
      <c r="EG42" s="837">
        <f t="shared" si="118"/>
        <v>100</v>
      </c>
      <c r="EH42" s="1053">
        <f t="shared" si="119"/>
        <v>100</v>
      </c>
      <c r="EI42" s="1053">
        <f t="shared" si="120"/>
        <v>100</v>
      </c>
      <c r="EJ42" s="1053">
        <f t="shared" si="121"/>
        <v>11</v>
      </c>
      <c r="EK42" s="1053">
        <f t="shared" si="122"/>
        <v>6.9725900739680267</v>
      </c>
      <c r="EL42" s="1053">
        <f t="shared" si="123"/>
        <v>6.0778155571462653</v>
      </c>
      <c r="EM42" s="1053">
        <f t="shared" si="124"/>
        <v>1.3056848007635411</v>
      </c>
      <c r="EN42" s="1053">
        <f t="shared" si="125"/>
        <v>-6.6511572417084046E-3</v>
      </c>
      <c r="EO42" s="1053">
        <f t="shared" si="126"/>
        <v>-9.6128608923884501E-2</v>
      </c>
      <c r="EP42" s="1067" t="str">
        <f t="shared" si="127"/>
        <v>ML3</v>
      </c>
      <c r="EQ42" s="835"/>
      <c r="ER42" s="837" t="str">
        <f t="shared" si="128"/>
        <v>ML2</v>
      </c>
      <c r="ES42" s="837" t="str">
        <f t="shared" si="138"/>
        <v>ML5.5</v>
      </c>
    </row>
    <row r="43" spans="1:149" s="504" customFormat="1" x14ac:dyDescent="0.25">
      <c r="A43" s="514" t="s">
        <v>224</v>
      </c>
      <c r="B43" s="757" t="str">
        <f>VLOOKUP($A43,'TIS Site Config'!$A$3:$AQ$51,2,FALSE)</f>
        <v>D17</v>
      </c>
      <c r="C43" s="753" t="str">
        <f>IF(VLOOKUP($A43,'TIS Site Config'!$A$3:$AQ$51,3,FALSE)&lt;&gt;"",
              VLOOKUP($A43,'TIS Site Config'!$A$3:$AQ$51,3,FALSE),"")</f>
        <v/>
      </c>
      <c r="D43" s="932" t="str">
        <f>VLOOKUP($A43,'TIS Site Config'!$A$3:$AQ$51,4,FALSE)</f>
        <v>Soaproot Saddle</v>
      </c>
      <c r="E43" s="784">
        <f t="shared" si="129"/>
        <v>6</v>
      </c>
      <c r="F43" s="864"/>
      <c r="G43" s="506">
        <v>0.3</v>
      </c>
      <c r="H43" s="506">
        <v>6</v>
      </c>
      <c r="I43" s="506">
        <v>18</v>
      </c>
      <c r="J43" s="506">
        <v>30</v>
      </c>
      <c r="K43" s="506">
        <v>36</v>
      </c>
      <c r="L43" s="506">
        <v>50</v>
      </c>
      <c r="M43" s="506"/>
      <c r="N43" s="507"/>
      <c r="O43" s="615">
        <v>171</v>
      </c>
      <c r="P43" s="616" t="s">
        <v>138</v>
      </c>
      <c r="Q43" s="770">
        <f t="shared" si="130"/>
        <v>15</v>
      </c>
      <c r="R43" s="611">
        <v>1</v>
      </c>
      <c r="S43" s="611"/>
      <c r="T43" s="366" t="s">
        <v>204</v>
      </c>
      <c r="U43" s="366" t="s">
        <v>203</v>
      </c>
      <c r="V43" s="366" t="s">
        <v>203</v>
      </c>
      <c r="W43" s="366" t="s">
        <v>203</v>
      </c>
      <c r="X43" s="366" t="s">
        <v>203</v>
      </c>
      <c r="Y43" s="366" t="s">
        <v>203</v>
      </c>
      <c r="Z43" s="366" t="s">
        <v>203</v>
      </c>
      <c r="AA43" s="366" t="s">
        <v>203</v>
      </c>
      <c r="AB43" s="366" t="s">
        <v>203</v>
      </c>
      <c r="AC43" s="366" t="s">
        <v>203</v>
      </c>
      <c r="AD43" s="366" t="s">
        <v>203</v>
      </c>
      <c r="AE43" s="366" t="s">
        <v>203</v>
      </c>
      <c r="AF43" s="366" t="s">
        <v>203</v>
      </c>
      <c r="AG43" s="366" t="s">
        <v>203</v>
      </c>
      <c r="AH43" s="366" t="s">
        <v>203</v>
      </c>
      <c r="AI43" s="366"/>
      <c r="AJ43" s="366"/>
      <c r="AK43" s="605"/>
      <c r="AL43" s="508">
        <v>3</v>
      </c>
      <c r="AM43" s="773">
        <f t="shared" si="131"/>
        <v>25.5</v>
      </c>
      <c r="AN43" s="506"/>
      <c r="AO43" s="787">
        <f t="shared" si="145"/>
        <v>2.0416666666666665</v>
      </c>
      <c r="AP43" s="841">
        <v>0.3</v>
      </c>
      <c r="AQ43" s="842">
        <v>6</v>
      </c>
      <c r="AR43" s="842">
        <v>18</v>
      </c>
      <c r="AS43" s="842">
        <v>30</v>
      </c>
      <c r="AT43" s="842">
        <v>36</v>
      </c>
      <c r="AU43" s="842">
        <v>50</v>
      </c>
      <c r="AV43" s="842"/>
      <c r="AW43" s="843"/>
      <c r="AX43" s="854">
        <v>0.3</v>
      </c>
      <c r="AY43" s="855">
        <v>6</v>
      </c>
      <c r="AZ43" s="855">
        <v>18</v>
      </c>
      <c r="BA43" s="855">
        <v>30</v>
      </c>
      <c r="BB43" s="855">
        <v>36</v>
      </c>
      <c r="BC43" s="855">
        <v>50</v>
      </c>
      <c r="BD43" s="855">
        <v>0</v>
      </c>
      <c r="BE43" s="856">
        <v>0</v>
      </c>
      <c r="BF43" s="792">
        <f t="shared" si="147"/>
        <v>-9.6128608923884501E-2</v>
      </c>
      <c r="BG43" s="598">
        <f t="shared" si="148"/>
        <v>1.6039429730374613</v>
      </c>
      <c r="BH43" s="598">
        <f t="shared" si="149"/>
        <v>5.1830410403245049</v>
      </c>
      <c r="BI43" s="598">
        <f t="shared" si="150"/>
        <v>8.7621391076115476</v>
      </c>
      <c r="BJ43" s="598">
        <f t="shared" si="151"/>
        <v>10.55168814125507</v>
      </c>
      <c r="BK43" s="598">
        <f t="shared" si="152"/>
        <v>15</v>
      </c>
      <c r="BL43" s="598">
        <f t="shared" si="153"/>
        <v>0</v>
      </c>
      <c r="BM43" s="793">
        <f t="shared" si="154"/>
        <v>0</v>
      </c>
      <c r="BN43" s="801">
        <f t="shared" si="139"/>
        <v>1</v>
      </c>
      <c r="BO43" s="366">
        <f t="shared" si="179"/>
        <v>1</v>
      </c>
      <c r="BP43" s="366">
        <f t="shared" si="179"/>
        <v>0</v>
      </c>
      <c r="BQ43" s="366">
        <f t="shared" si="179"/>
        <v>0</v>
      </c>
      <c r="BR43" s="366">
        <f t="shared" si="179"/>
        <v>0</v>
      </c>
      <c r="BS43" s="366">
        <f t="shared" si="179"/>
        <v>1</v>
      </c>
      <c r="BT43" s="366">
        <f t="shared" si="179"/>
        <v>0</v>
      </c>
      <c r="BU43" s="366">
        <f t="shared" si="179"/>
        <v>0</v>
      </c>
      <c r="BV43" s="366">
        <f t="shared" si="179"/>
        <v>1</v>
      </c>
      <c r="BW43" s="366">
        <f t="shared" si="179"/>
        <v>0</v>
      </c>
      <c r="BX43" s="366">
        <f t="shared" si="179"/>
        <v>1</v>
      </c>
      <c r="BY43" s="366">
        <f t="shared" si="179"/>
        <v>0</v>
      </c>
      <c r="BZ43" s="366">
        <f t="shared" si="179"/>
        <v>0</v>
      </c>
      <c r="CA43" s="366">
        <f t="shared" si="179"/>
        <v>0</v>
      </c>
      <c r="CB43" s="366">
        <f t="shared" si="179"/>
        <v>0</v>
      </c>
      <c r="CC43" s="366">
        <f t="shared" si="179"/>
        <v>1</v>
      </c>
      <c r="CD43" s="366" t="str">
        <f t="shared" si="180"/>
        <v/>
      </c>
      <c r="CE43" s="366" t="str">
        <f t="shared" si="180"/>
        <v/>
      </c>
      <c r="CF43" s="798" t="str">
        <f t="shared" si="142"/>
        <v/>
      </c>
      <c r="CG43" s="805" t="str">
        <f t="shared" si="156"/>
        <v>B, ML above</v>
      </c>
      <c r="CH43" s="594" t="str">
        <f t="shared" si="157"/>
        <v>p-thru</v>
      </c>
      <c r="CI43" s="594" t="str">
        <f t="shared" si="158"/>
        <v>p-thru</v>
      </c>
      <c r="CJ43" s="594" t="str">
        <f t="shared" si="159"/>
        <v>p-thru</v>
      </c>
      <c r="CK43" s="594" t="str">
        <f t="shared" si="160"/>
        <v>ML</v>
      </c>
      <c r="CL43" s="594" t="str">
        <f t="shared" si="161"/>
        <v>p-thru</v>
      </c>
      <c r="CM43" s="594" t="str">
        <f t="shared" si="162"/>
        <v>p-thru</v>
      </c>
      <c r="CN43" s="594" t="str">
        <f t="shared" si="163"/>
        <v>ML</v>
      </c>
      <c r="CO43" s="594" t="str">
        <f t="shared" si="164"/>
        <v>p-thru</v>
      </c>
      <c r="CP43" s="594" t="str">
        <f t="shared" si="165"/>
        <v>ML</v>
      </c>
      <c r="CQ43" s="594" t="str">
        <f t="shared" si="166"/>
        <v>p-thru</v>
      </c>
      <c r="CR43" s="594" t="str">
        <f t="shared" si="167"/>
        <v>p-thru</v>
      </c>
      <c r="CS43" s="594" t="str">
        <f t="shared" si="168"/>
        <v>p-thru</v>
      </c>
      <c r="CT43" s="594" t="str">
        <f t="shared" si="169"/>
        <v>p-thru</v>
      </c>
      <c r="CU43" s="594" t="str">
        <f t="shared" si="170"/>
        <v>TOP</v>
      </c>
      <c r="CV43" s="594" t="str">
        <f t="shared" si="171"/>
        <v/>
      </c>
      <c r="CW43" s="594" t="str">
        <f t="shared" si="172"/>
        <v/>
      </c>
      <c r="CX43" s="806" t="str">
        <f t="shared" si="173"/>
        <v/>
      </c>
      <c r="CY43" s="815">
        <f>IF(VLOOKUP(A43,'TIS Site Config'!$A$4:$AQ$51,6,FALSE)="Non-heated",COUNTIF($CG43:$CX43,$DT$3),0)</f>
        <v>0</v>
      </c>
      <c r="CZ43" s="738">
        <f>IF(OR(VLOOKUP(A43,'TIS Site Config'!$A$4:$AQ$51,6,FALSE)="Heated",VLOOKUP(A43,'TIS Site Config'!$A$4:$AQ$51,6,FALSE)="Extreme Heated"),COUNTIF($CG43:$CX43,$DT$3),0)</f>
        <v>0</v>
      </c>
      <c r="DA43" s="738">
        <f>IF(VLOOKUP(A43,'TIS Site Config'!$A$4:$AQ$51,6,FALSE)="Non-heated",COUNTIF($CG43:$CX43,$DU$3),0)</f>
        <v>0</v>
      </c>
      <c r="DB43" s="738">
        <f>IF(OR(VLOOKUP(A43,'TIS Site Config'!$A$4:$AQ$51,6,FALSE)="Heated",VLOOKUP(A43,'TIS Site Config'!$A$4:$AQ$51,6,FALSE)="Extreme heated"),COUNTIF($CG43:$CX43,$DU$3),0)</f>
        <v>1</v>
      </c>
      <c r="DC43" s="738">
        <f>IF(VLOOKUP(A43,'TIS Site Config'!$A$4:$AQ$51,6,FALSE)="Non-heated",COUNTIF($CG43:$CX43,$DW$3),0)</f>
        <v>0</v>
      </c>
      <c r="DD43" s="738">
        <f>IF(OR(VLOOKUP(A43,'TIS Site Config'!$A$4:$AQ$51,6,FALSE)="Heated",VLOOKUP(A43,'TIS Site Config'!$A$4:$AQ$51,6,FALSE)="Extreme heated"),COUNTIF($CG43:$CX43,$DW$3),0)</f>
        <v>3</v>
      </c>
      <c r="DE43" s="738">
        <f t="shared" si="132"/>
        <v>10</v>
      </c>
      <c r="DF43" s="738">
        <f>IF(VLOOKUP(A43,'TIS Site Config'!$A$4:$AQ$51,6,FALSE)="Non-heated",COUNTIF($CG43:$CX43,$DX$3),0)</f>
        <v>0</v>
      </c>
      <c r="DG43" s="738">
        <f>IF(OR(VLOOKUP(A43,'TIS Site Config'!$A$4:$AQ$51,6,FALSE)="Heated",VLOOKUP(A43,'TIS Site Config'!$A$4:$AQ$51,6,FALSE)="Extreme heated"),COUNTIF($CG43:$CX43,$DX$3),0)</f>
        <v>1</v>
      </c>
      <c r="DH43" s="812"/>
      <c r="DI43" s="790">
        <f t="shared" si="133"/>
        <v>1</v>
      </c>
      <c r="DJ43" s="357">
        <f t="shared" si="134"/>
        <v>1</v>
      </c>
      <c r="DK43" s="357">
        <f t="shared" si="135"/>
        <v>3</v>
      </c>
      <c r="DL43" s="606">
        <v>1</v>
      </c>
      <c r="DM43" s="607">
        <f t="shared" si="146"/>
        <v>6</v>
      </c>
      <c r="DN43" s="883">
        <f t="shared" si="136"/>
        <v>0</v>
      </c>
      <c r="DO43" s="593">
        <f t="shared" si="174"/>
        <v>2</v>
      </c>
      <c r="DP43" s="593">
        <f t="shared" si="175"/>
        <v>6</v>
      </c>
      <c r="DR43" s="504">
        <f t="shared" si="176"/>
        <v>14</v>
      </c>
      <c r="DS43" s="504">
        <f t="shared" si="177"/>
        <v>1</v>
      </c>
      <c r="DT43" s="504">
        <f t="shared" si="178"/>
        <v>0</v>
      </c>
      <c r="DZ43" s="792">
        <f t="shared" si="137"/>
        <v>-9.6128608923884501E-2</v>
      </c>
      <c r="EA43" s="598">
        <f t="shared" si="112"/>
        <v>1.6039429730374613</v>
      </c>
      <c r="EB43" s="598">
        <f t="shared" si="113"/>
        <v>5.1830410403245049</v>
      </c>
      <c r="EC43" s="598">
        <f t="shared" si="114"/>
        <v>8.7621391076115476</v>
      </c>
      <c r="ED43" s="598">
        <f t="shared" si="115"/>
        <v>10.55168814125507</v>
      </c>
      <c r="EE43" s="598">
        <f t="shared" si="116"/>
        <v>15</v>
      </c>
      <c r="EF43" s="598">
        <f t="shared" si="117"/>
        <v>100</v>
      </c>
      <c r="EG43" s="793">
        <f t="shared" si="118"/>
        <v>100</v>
      </c>
      <c r="EH43" s="1055">
        <f t="shared" si="119"/>
        <v>100</v>
      </c>
      <c r="EI43" s="1055">
        <f t="shared" si="120"/>
        <v>100</v>
      </c>
      <c r="EJ43" s="1055">
        <f t="shared" si="121"/>
        <v>15</v>
      </c>
      <c r="EK43" s="1055">
        <f t="shared" si="122"/>
        <v>10.55168814125507</v>
      </c>
      <c r="EL43" s="1055">
        <f t="shared" si="123"/>
        <v>8.7621391076115476</v>
      </c>
      <c r="EM43" s="1055">
        <f t="shared" si="124"/>
        <v>5.1830410403245049</v>
      </c>
      <c r="EN43" s="1055">
        <f t="shared" si="125"/>
        <v>1.6039429730374613</v>
      </c>
      <c r="EO43" s="1055">
        <f t="shared" si="126"/>
        <v>-9.6128608923884501E-2</v>
      </c>
      <c r="EP43" s="1068" t="str">
        <f t="shared" si="127"/>
        <v>ML2</v>
      </c>
      <c r="EQ43" s="792"/>
      <c r="ER43" s="793" t="str">
        <f t="shared" si="128"/>
        <v>ML1</v>
      </c>
      <c r="ES43" s="793" t="str">
        <f t="shared" si="138"/>
        <v>ML5.5</v>
      </c>
    </row>
    <row r="44" spans="1:149" s="504" customFormat="1" ht="15.75" thickBot="1" x14ac:dyDescent="0.3">
      <c r="A44" s="377" t="s">
        <v>223</v>
      </c>
      <c r="B44" s="761" t="str">
        <f>VLOOKUP($A44,'TIS Site Config'!$A$3:$AQ$51,2,FALSE)</f>
        <v>D17</v>
      </c>
      <c r="C44" s="751" t="str">
        <f>IF(VLOOKUP($A44,'TIS Site Config'!$A$3:$AQ$51,3,FALSE)&lt;&gt;"",
              VLOOKUP($A44,'TIS Site Config'!$A$3:$AQ$51,3,FALSE),"")</f>
        <v/>
      </c>
      <c r="D44" s="933" t="str">
        <f>VLOOKUP($A44,'TIS Site Config'!$A$3:$AQ$51,4,FALSE)</f>
        <v>Lower Teakettle</v>
      </c>
      <c r="E44" s="786">
        <f t="shared" si="129"/>
        <v>7</v>
      </c>
      <c r="F44" s="866"/>
      <c r="G44" s="373">
        <v>0.3</v>
      </c>
      <c r="H44" s="373">
        <v>3</v>
      </c>
      <c r="I44" s="373">
        <v>13</v>
      </c>
      <c r="J44" s="373">
        <v>25</v>
      </c>
      <c r="K44" s="373">
        <v>35</v>
      </c>
      <c r="L44" s="373">
        <v>50</v>
      </c>
      <c r="M44" s="373">
        <v>59</v>
      </c>
      <c r="N44" s="374"/>
      <c r="O44" s="617">
        <v>193</v>
      </c>
      <c r="P44" s="618" t="s">
        <v>138</v>
      </c>
      <c r="Q44" s="772">
        <f t="shared" si="130"/>
        <v>17</v>
      </c>
      <c r="R44" s="620">
        <v>1</v>
      </c>
      <c r="S44" s="620"/>
      <c r="T44" s="371" t="s">
        <v>204</v>
      </c>
      <c r="U44" s="371" t="s">
        <v>204</v>
      </c>
      <c r="V44" s="371" t="s">
        <v>204</v>
      </c>
      <c r="W44" s="371" t="s">
        <v>204</v>
      </c>
      <c r="X44" s="371" t="s">
        <v>204</v>
      </c>
      <c r="Y44" s="371" t="s">
        <v>203</v>
      </c>
      <c r="Z44" s="371" t="s">
        <v>203</v>
      </c>
      <c r="AA44" s="371" t="s">
        <v>203</v>
      </c>
      <c r="AB44" s="371" t="s">
        <v>203</v>
      </c>
      <c r="AC44" s="371" t="s">
        <v>203</v>
      </c>
      <c r="AD44" s="371" t="s">
        <v>203</v>
      </c>
      <c r="AE44" s="371" t="s">
        <v>203</v>
      </c>
      <c r="AF44" s="371" t="s">
        <v>203</v>
      </c>
      <c r="AG44" s="371" t="s">
        <v>203</v>
      </c>
      <c r="AH44" s="371" t="s">
        <v>203</v>
      </c>
      <c r="AI44" s="371" t="s">
        <v>203</v>
      </c>
      <c r="AJ44" s="371" t="s">
        <v>203</v>
      </c>
      <c r="AK44" s="608"/>
      <c r="AL44" s="375">
        <v>3</v>
      </c>
      <c r="AM44" s="775">
        <f t="shared" si="131"/>
        <v>25.5</v>
      </c>
      <c r="AN44" s="373"/>
      <c r="AO44" s="789">
        <f t="shared" si="145"/>
        <v>2.0416666666666665</v>
      </c>
      <c r="AP44" s="844">
        <v>0.3</v>
      </c>
      <c r="AQ44" s="845">
        <v>3</v>
      </c>
      <c r="AR44" s="845">
        <v>13</v>
      </c>
      <c r="AS44" s="845">
        <v>25</v>
      </c>
      <c r="AT44" s="845">
        <v>35</v>
      </c>
      <c r="AU44" s="845">
        <v>50</v>
      </c>
      <c r="AV44" s="845">
        <v>59</v>
      </c>
      <c r="AW44" s="846"/>
      <c r="AX44" s="857">
        <v>0.3</v>
      </c>
      <c r="AY44" s="858">
        <v>3</v>
      </c>
      <c r="AZ44" s="858">
        <v>13</v>
      </c>
      <c r="BA44" s="858">
        <v>25</v>
      </c>
      <c r="BB44" s="858">
        <v>35</v>
      </c>
      <c r="BC44" s="858">
        <v>50</v>
      </c>
      <c r="BD44" s="858">
        <v>59</v>
      </c>
      <c r="BE44" s="859">
        <v>0</v>
      </c>
      <c r="BF44" s="794">
        <f t="shared" si="147"/>
        <v>-9.6128608923884501E-2</v>
      </c>
      <c r="BG44" s="599">
        <f t="shared" si="148"/>
        <v>0.70916845621570035</v>
      </c>
      <c r="BH44" s="599">
        <f t="shared" si="149"/>
        <v>3.6917501789549036</v>
      </c>
      <c r="BI44" s="599">
        <f t="shared" si="150"/>
        <v>7.2708482462419459</v>
      </c>
      <c r="BJ44" s="599">
        <f t="shared" si="151"/>
        <v>10.25342996898115</v>
      </c>
      <c r="BK44" s="599">
        <f t="shared" si="152"/>
        <v>14.727302553089954</v>
      </c>
      <c r="BL44" s="599">
        <f t="shared" si="153"/>
        <v>17</v>
      </c>
      <c r="BM44" s="795">
        <f t="shared" si="154"/>
        <v>0</v>
      </c>
      <c r="BN44" s="802">
        <f t="shared" si="139"/>
        <v>2</v>
      </c>
      <c r="BO44" s="371">
        <f t="shared" si="179"/>
        <v>0</v>
      </c>
      <c r="BP44" s="371">
        <f t="shared" si="179"/>
        <v>0</v>
      </c>
      <c r="BQ44" s="371">
        <f t="shared" si="179"/>
        <v>1</v>
      </c>
      <c r="BR44" s="371">
        <f t="shared" si="179"/>
        <v>0</v>
      </c>
      <c r="BS44" s="371">
        <f t="shared" si="179"/>
        <v>0</v>
      </c>
      <c r="BT44" s="371">
        <f t="shared" si="179"/>
        <v>0</v>
      </c>
      <c r="BU44" s="371">
        <f t="shared" si="179"/>
        <v>1</v>
      </c>
      <c r="BV44" s="371">
        <f t="shared" si="179"/>
        <v>0</v>
      </c>
      <c r="BW44" s="371">
        <f t="shared" si="179"/>
        <v>0</v>
      </c>
      <c r="BX44" s="371">
        <f t="shared" si="179"/>
        <v>1</v>
      </c>
      <c r="BY44" s="371">
        <f t="shared" si="179"/>
        <v>0</v>
      </c>
      <c r="BZ44" s="371">
        <f t="shared" si="179"/>
        <v>0</v>
      </c>
      <c r="CA44" s="371">
        <f t="shared" si="179"/>
        <v>0</v>
      </c>
      <c r="CB44" s="371">
        <f t="shared" si="179"/>
        <v>1</v>
      </c>
      <c r="CC44" s="371">
        <f t="shared" si="179"/>
        <v>0</v>
      </c>
      <c r="CD44" s="371">
        <f t="shared" si="180"/>
        <v>0</v>
      </c>
      <c r="CE44" s="371">
        <f t="shared" si="180"/>
        <v>1</v>
      </c>
      <c r="CF44" s="799" t="str">
        <f t="shared" si="142"/>
        <v/>
      </c>
      <c r="CG44" s="807" t="str">
        <f t="shared" si="156"/>
        <v>B, p-thru above</v>
      </c>
      <c r="CH44" s="595" t="str">
        <f t="shared" si="157"/>
        <v>p-thru</v>
      </c>
      <c r="CI44" s="595" t="str">
        <f t="shared" si="158"/>
        <v>ML</v>
      </c>
      <c r="CJ44" s="595" t="str">
        <f t="shared" si="159"/>
        <v>p-thru</v>
      </c>
      <c r="CK44" s="595" t="str">
        <f t="shared" si="160"/>
        <v>p-thru</v>
      </c>
      <c r="CL44" s="595" t="str">
        <f t="shared" si="161"/>
        <v>p-thru</v>
      </c>
      <c r="CM44" s="595" t="str">
        <f t="shared" si="162"/>
        <v>ML</v>
      </c>
      <c r="CN44" s="595" t="str">
        <f t="shared" si="163"/>
        <v>p-thru</v>
      </c>
      <c r="CO44" s="595" t="str">
        <f t="shared" si="164"/>
        <v>p-thru</v>
      </c>
      <c r="CP44" s="595" t="str">
        <f t="shared" si="165"/>
        <v>ML</v>
      </c>
      <c r="CQ44" s="595" t="str">
        <f t="shared" si="166"/>
        <v>p-thru</v>
      </c>
      <c r="CR44" s="595" t="str">
        <f t="shared" si="167"/>
        <v>p-thru</v>
      </c>
      <c r="CS44" s="595" t="str">
        <f t="shared" si="168"/>
        <v>p-thru</v>
      </c>
      <c r="CT44" s="595" t="str">
        <f t="shared" si="169"/>
        <v>ML</v>
      </c>
      <c r="CU44" s="595" t="str">
        <f t="shared" si="170"/>
        <v>p-thru</v>
      </c>
      <c r="CV44" s="595" t="str">
        <f t="shared" si="171"/>
        <v>p-thru</v>
      </c>
      <c r="CW44" s="595" t="str">
        <f t="shared" si="172"/>
        <v>TOP</v>
      </c>
      <c r="CX44" s="808" t="str">
        <f t="shared" si="173"/>
        <v/>
      </c>
      <c r="CY44" s="816">
        <f>IF(VLOOKUP(A44,'TIS Site Config'!$A$4:$AQ$51,6,FALSE)="Non-heated",COUNTIF($CG44:$CX44,$DT$3),0)</f>
        <v>0</v>
      </c>
      <c r="CZ44" s="596">
        <f>IF(OR(VLOOKUP(A44,'TIS Site Config'!$A$4:$AQ$51,6,FALSE)="Heated",VLOOKUP(A44,'TIS Site Config'!$A$4:$AQ$51,6,FALSE)="Extreme Heated"),COUNTIF($CG44:$CX44,$DT$3),0)</f>
        <v>1</v>
      </c>
      <c r="DA44" s="596">
        <f>IF(VLOOKUP(A44,'TIS Site Config'!$A$4:$AQ$51,6,FALSE)="Non-heated",COUNTIF($CG44:$CX44,$DU$3),0)</f>
        <v>0</v>
      </c>
      <c r="DB44" s="596">
        <f>IF(OR(VLOOKUP(A44,'TIS Site Config'!$A$4:$AQ$51,6,FALSE)="Heated",VLOOKUP(A44,'TIS Site Config'!$A$4:$AQ$51,6,FALSE)="Extreme heated"),COUNTIF($CG44:$CX44,$DU$3),0)</f>
        <v>0</v>
      </c>
      <c r="DC44" s="596">
        <f>IF(VLOOKUP(A44,'TIS Site Config'!$A$4:$AQ$51,6,FALSE)="Non-heated",COUNTIF($CG44:$CX44,$DW$3),0)</f>
        <v>0</v>
      </c>
      <c r="DD44" s="596">
        <f>IF(OR(VLOOKUP(A44,'TIS Site Config'!$A$4:$AQ$51,6,FALSE)="Heated",VLOOKUP(A44,'TIS Site Config'!$A$4:$AQ$51,6,FALSE)="Extreme heated"),COUNTIF($CG44:$CX44,$DW$3),0)</f>
        <v>4</v>
      </c>
      <c r="DE44" s="596">
        <f t="shared" si="132"/>
        <v>11</v>
      </c>
      <c r="DF44" s="596">
        <f>IF(VLOOKUP(A44,'TIS Site Config'!$A$4:$AQ$51,6,FALSE)="Non-heated",COUNTIF($CG44:$CX44,$DX$3),0)</f>
        <v>0</v>
      </c>
      <c r="DG44" s="596">
        <f>IF(OR(VLOOKUP(A44,'TIS Site Config'!$A$4:$AQ$51,6,FALSE)="Heated",VLOOKUP(A44,'TIS Site Config'!$A$4:$AQ$51,6,FALSE)="Extreme heated"),COUNTIF($CG44:$CX44,$DX$3),0)</f>
        <v>1</v>
      </c>
      <c r="DH44" s="817"/>
      <c r="DI44" s="791">
        <f t="shared" si="133"/>
        <v>3</v>
      </c>
      <c r="DJ44" s="365">
        <f t="shared" si="134"/>
        <v>0</v>
      </c>
      <c r="DK44" s="365">
        <f t="shared" si="135"/>
        <v>3</v>
      </c>
      <c r="DL44" s="376">
        <v>1</v>
      </c>
      <c r="DM44" s="609">
        <f t="shared" si="146"/>
        <v>7</v>
      </c>
      <c r="DN44" s="883">
        <f t="shared" si="136"/>
        <v>0</v>
      </c>
      <c r="DO44" s="593">
        <f t="shared" si="174"/>
        <v>1</v>
      </c>
      <c r="DP44" s="593">
        <f t="shared" si="175"/>
        <v>4</v>
      </c>
      <c r="DR44" s="504">
        <f t="shared" si="176"/>
        <v>12</v>
      </c>
      <c r="DS44" s="504">
        <f t="shared" si="177"/>
        <v>5</v>
      </c>
      <c r="DT44" s="504">
        <f t="shared" si="178"/>
        <v>0</v>
      </c>
      <c r="DZ44" s="794">
        <f t="shared" si="137"/>
        <v>-9.6128608923884501E-2</v>
      </c>
      <c r="EA44" s="599">
        <f t="shared" si="112"/>
        <v>0.70916845621570035</v>
      </c>
      <c r="EB44" s="599">
        <f t="shared" si="113"/>
        <v>3.6917501789549036</v>
      </c>
      <c r="EC44" s="599">
        <f t="shared" si="114"/>
        <v>7.2708482462419459</v>
      </c>
      <c r="ED44" s="599">
        <f t="shared" si="115"/>
        <v>10.25342996898115</v>
      </c>
      <c r="EE44" s="599">
        <f t="shared" si="116"/>
        <v>14.727302553089954</v>
      </c>
      <c r="EF44" s="599">
        <f t="shared" si="117"/>
        <v>17</v>
      </c>
      <c r="EG44" s="795">
        <f t="shared" si="118"/>
        <v>100</v>
      </c>
      <c r="EH44" s="1054">
        <f t="shared" si="119"/>
        <v>100</v>
      </c>
      <c r="EI44" s="1054">
        <f t="shared" si="120"/>
        <v>17</v>
      </c>
      <c r="EJ44" s="1054">
        <f t="shared" si="121"/>
        <v>14.727302553089954</v>
      </c>
      <c r="EK44" s="1054">
        <f t="shared" si="122"/>
        <v>10.25342996898115</v>
      </c>
      <c r="EL44" s="1054">
        <f t="shared" si="123"/>
        <v>7.2708482462419459</v>
      </c>
      <c r="EM44" s="1054">
        <f t="shared" si="124"/>
        <v>3.6917501789549036</v>
      </c>
      <c r="EN44" s="1054">
        <f t="shared" si="125"/>
        <v>0.70916845621570035</v>
      </c>
      <c r="EO44" s="1054">
        <f t="shared" si="126"/>
        <v>-9.6128608923884501E-2</v>
      </c>
      <c r="EP44" s="1070" t="str">
        <f t="shared" si="127"/>
        <v>ML2.5</v>
      </c>
      <c r="EQ44" s="794"/>
      <c r="ER44" s="795" t="str">
        <f t="shared" si="128"/>
        <v>ML1</v>
      </c>
      <c r="ES44" s="795" t="str">
        <f t="shared" si="138"/>
        <v>ML6.5</v>
      </c>
    </row>
    <row r="45" spans="1:149" s="504" customFormat="1" x14ac:dyDescent="0.25">
      <c r="A45" s="584" t="s">
        <v>242</v>
      </c>
      <c r="B45" s="930" t="str">
        <f>VLOOKUP($A45,'TIS Site Config'!$A$3:$AQ$51,2,FALSE)</f>
        <v>D18</v>
      </c>
      <c r="C45" s="934" t="str">
        <f>IF(VLOOKUP($A45,'TIS Site Config'!$A$3:$AQ$51,3,FALSE)&lt;&gt;"",
              VLOOKUP($A45,'TIS Site Config'!$A$3:$AQ$51,3,FALSE),"")</f>
        <v/>
      </c>
      <c r="D45" s="931" t="str">
        <f>VLOOKUP($A45,'TIS Site Config'!$A$3:$AQ$51,4,FALSE)</f>
        <v>Toolik Lake</v>
      </c>
      <c r="E45" s="784">
        <f t="shared" si="129"/>
        <v>4</v>
      </c>
      <c r="F45" s="864"/>
      <c r="G45" s="355">
        <v>0.25</v>
      </c>
      <c r="H45" s="597">
        <v>1</v>
      </c>
      <c r="I45" s="597">
        <v>3.5</v>
      </c>
      <c r="J45" s="597">
        <v>6</v>
      </c>
      <c r="K45" s="597"/>
      <c r="L45" s="597"/>
      <c r="M45" s="597"/>
      <c r="N45" s="826"/>
      <c r="O45" s="613">
        <v>26</v>
      </c>
      <c r="P45" s="614" t="s">
        <v>139</v>
      </c>
      <c r="Q45" s="770">
        <f t="shared" si="130"/>
        <v>2</v>
      </c>
      <c r="R45" s="611">
        <v>1</v>
      </c>
      <c r="S45" s="611"/>
      <c r="T45" s="368" t="s">
        <v>203</v>
      </c>
      <c r="U45" s="368" t="s">
        <v>203</v>
      </c>
      <c r="V45" s="368"/>
      <c r="W45" s="368"/>
      <c r="X45" s="368"/>
      <c r="Y45" s="368"/>
      <c r="Z45" s="368"/>
      <c r="AA45" s="368"/>
      <c r="AB45" s="368"/>
      <c r="AC45" s="368"/>
      <c r="AD45" s="368"/>
      <c r="AE45" s="368"/>
      <c r="AF45" s="368"/>
      <c r="AG45" s="368"/>
      <c r="AH45" s="368"/>
      <c r="AI45" s="368"/>
      <c r="AJ45" s="368"/>
      <c r="AK45" s="602"/>
      <c r="AL45" s="819">
        <v>10.5</v>
      </c>
      <c r="AM45" s="773">
        <f t="shared" si="131"/>
        <v>15.5</v>
      </c>
      <c r="AN45" s="597"/>
      <c r="AO45" s="787">
        <f t="shared" si="145"/>
        <v>1.2083333333333333</v>
      </c>
      <c r="AP45" s="838">
        <v>0.25</v>
      </c>
      <c r="AQ45" s="839">
        <v>1</v>
      </c>
      <c r="AR45" s="839">
        <v>3.5</v>
      </c>
      <c r="AS45" s="839">
        <v>6</v>
      </c>
      <c r="AT45" s="839"/>
      <c r="AU45" s="839"/>
      <c r="AV45" s="839"/>
      <c r="AW45" s="840"/>
      <c r="AX45" s="860">
        <v>0.25</v>
      </c>
      <c r="AY45" s="852">
        <v>1</v>
      </c>
      <c r="AZ45" s="852">
        <v>3.5</v>
      </c>
      <c r="BA45" s="852">
        <v>6</v>
      </c>
      <c r="BB45" s="852">
        <v>0</v>
      </c>
      <c r="BC45" s="852">
        <v>0</v>
      </c>
      <c r="BD45" s="852">
        <v>0</v>
      </c>
      <c r="BE45" s="853">
        <v>0</v>
      </c>
      <c r="BF45" s="835">
        <f t="shared" si="147"/>
        <v>-3.5283941780004761E-2</v>
      </c>
      <c r="BG45" s="836">
        <f t="shared" si="148"/>
        <v>0.18840968742543548</v>
      </c>
      <c r="BH45" s="836">
        <f t="shared" si="149"/>
        <v>0.93405511811023623</v>
      </c>
      <c r="BI45" s="836">
        <f t="shared" si="150"/>
        <v>2</v>
      </c>
      <c r="BJ45" s="836">
        <f t="shared" si="151"/>
        <v>0</v>
      </c>
      <c r="BK45" s="836">
        <f t="shared" si="152"/>
        <v>0</v>
      </c>
      <c r="BL45" s="836">
        <f t="shared" si="153"/>
        <v>0</v>
      </c>
      <c r="BM45" s="837">
        <f t="shared" si="154"/>
        <v>0</v>
      </c>
      <c r="BN45" s="800">
        <f t="shared" si="139"/>
        <v>3</v>
      </c>
      <c r="BO45" s="368">
        <f t="shared" si="179"/>
        <v>0</v>
      </c>
      <c r="BP45" s="368">
        <f t="shared" si="179"/>
        <v>1</v>
      </c>
      <c r="BQ45" s="368" t="str">
        <f t="shared" si="179"/>
        <v/>
      </c>
      <c r="BR45" s="368" t="str">
        <f t="shared" si="179"/>
        <v/>
      </c>
      <c r="BS45" s="368" t="str">
        <f t="shared" si="179"/>
        <v/>
      </c>
      <c r="BT45" s="368" t="str">
        <f t="shared" si="179"/>
        <v/>
      </c>
      <c r="BU45" s="368" t="str">
        <f t="shared" si="179"/>
        <v/>
      </c>
      <c r="BV45" s="368" t="str">
        <f t="shared" si="179"/>
        <v/>
      </c>
      <c r="BW45" s="368" t="str">
        <f t="shared" si="179"/>
        <v/>
      </c>
      <c r="BX45" s="368" t="str">
        <f t="shared" si="179"/>
        <v/>
      </c>
      <c r="BY45" s="368" t="str">
        <f t="shared" si="179"/>
        <v/>
      </c>
      <c r="BZ45" s="368" t="str">
        <f t="shared" si="179"/>
        <v/>
      </c>
      <c r="CA45" s="368" t="str">
        <f t="shared" si="179"/>
        <v/>
      </c>
      <c r="CB45" s="368" t="str">
        <f t="shared" si="179"/>
        <v/>
      </c>
      <c r="CC45" s="368" t="str">
        <f t="shared" si="179"/>
        <v/>
      </c>
      <c r="CD45" s="368" t="str">
        <f t="shared" si="180"/>
        <v/>
      </c>
      <c r="CE45" s="368" t="str">
        <f t="shared" si="180"/>
        <v/>
      </c>
      <c r="CF45" s="797" t="str">
        <f t="shared" si="142"/>
        <v/>
      </c>
      <c r="CG45" s="803" t="str">
        <f t="shared" si="156"/>
        <v>B, ML above</v>
      </c>
      <c r="CH45" s="591" t="str">
        <f t="shared" si="157"/>
        <v>TOP</v>
      </c>
      <c r="CI45" s="591" t="str">
        <f t="shared" si="158"/>
        <v/>
      </c>
      <c r="CJ45" s="591" t="str">
        <f t="shared" si="159"/>
        <v/>
      </c>
      <c r="CK45" s="591" t="str">
        <f t="shared" si="160"/>
        <v/>
      </c>
      <c r="CL45" s="591" t="str">
        <f t="shared" si="161"/>
        <v/>
      </c>
      <c r="CM45" s="591" t="str">
        <f t="shared" si="162"/>
        <v/>
      </c>
      <c r="CN45" s="591" t="str">
        <f t="shared" si="163"/>
        <v/>
      </c>
      <c r="CO45" s="591" t="str">
        <f t="shared" si="164"/>
        <v/>
      </c>
      <c r="CP45" s="591" t="str">
        <f t="shared" si="165"/>
        <v/>
      </c>
      <c r="CQ45" s="591" t="str">
        <f t="shared" si="166"/>
        <v/>
      </c>
      <c r="CR45" s="591" t="str">
        <f t="shared" si="167"/>
        <v/>
      </c>
      <c r="CS45" s="591" t="str">
        <f t="shared" si="168"/>
        <v/>
      </c>
      <c r="CT45" s="591" t="str">
        <f t="shared" si="169"/>
        <v/>
      </c>
      <c r="CU45" s="591" t="str">
        <f t="shared" si="170"/>
        <v/>
      </c>
      <c r="CV45" s="591" t="str">
        <f t="shared" si="171"/>
        <v/>
      </c>
      <c r="CW45" s="591" t="str">
        <f t="shared" si="172"/>
        <v/>
      </c>
      <c r="CX45" s="804" t="str">
        <f t="shared" si="173"/>
        <v/>
      </c>
      <c r="CY45" s="813">
        <f>IF(VLOOKUP(A45,'TIS Site Config'!$A$4:$AQ$51,6,FALSE)="Non-heated",COUNTIF($CG45:$CX45,$DT$3),0)</f>
        <v>0</v>
      </c>
      <c r="CZ45" s="592">
        <f>IF(OR(VLOOKUP(A45,'TIS Site Config'!$A$4:$AQ$51,6,FALSE)="Heated",VLOOKUP(A45,'TIS Site Config'!$A$4:$AQ$51,6,FALSE)="Extreme Heated"),COUNTIF($CG45:$CX45,$DT$3),0)</f>
        <v>0</v>
      </c>
      <c r="DA45" s="592">
        <f>IF(VLOOKUP(A45,'TIS Site Config'!$A$4:$AQ$51,6,FALSE)="Non-heated",COUNTIF($CG45:$CX45,$DU$3),0)</f>
        <v>0</v>
      </c>
      <c r="DB45" s="592">
        <f>IF(OR(VLOOKUP(A45,'TIS Site Config'!$A$4:$AQ$51,6,FALSE)="Heated",VLOOKUP(A45,'TIS Site Config'!$A$4:$AQ$51,6,FALSE)="Extreme heated"),COUNTIF($CG45:$CX45,$DU$3),0)</f>
        <v>1</v>
      </c>
      <c r="DC45" s="592">
        <f>IF(VLOOKUP(A45,'TIS Site Config'!$A$4:$AQ$51,6,FALSE)="Non-heated",COUNTIF($CG45:$CX45,$DW$3),0)</f>
        <v>0</v>
      </c>
      <c r="DD45" s="592">
        <f>IF(OR(VLOOKUP(A45,'TIS Site Config'!$A$4:$AQ$51,6,FALSE)="Heated",VLOOKUP(A45,'TIS Site Config'!$A$4:$AQ$51,6,FALSE)="Extreme heated"),COUNTIF($CG45:$CX45,$DW$3),0)</f>
        <v>0</v>
      </c>
      <c r="DE45" s="592">
        <f t="shared" si="132"/>
        <v>0</v>
      </c>
      <c r="DF45" s="592">
        <f>IF(VLOOKUP(A45,'TIS Site Config'!$A$4:$AQ$51,6,FALSE)="Non-heated",COUNTIF($CG45:$CX45,$DX$3),0)</f>
        <v>0</v>
      </c>
      <c r="DG45" s="592">
        <f>IF(OR(VLOOKUP(A45,'TIS Site Config'!$A$4:$AQ$51,6,FALSE)="Heated",VLOOKUP(A45,'TIS Site Config'!$A$4:$AQ$51,6,FALSE)="Extreme heated"),COUNTIF($CG45:$CX45,$DX$3),0)</f>
        <v>1</v>
      </c>
      <c r="DH45" s="814"/>
      <c r="DI45" s="810">
        <f t="shared" si="133"/>
        <v>0</v>
      </c>
      <c r="DJ45" s="355">
        <f t="shared" si="134"/>
        <v>0</v>
      </c>
      <c r="DK45" s="355">
        <f t="shared" si="135"/>
        <v>3</v>
      </c>
      <c r="DL45" s="603">
        <v>1</v>
      </c>
      <c r="DM45" s="604">
        <f t="shared" si="146"/>
        <v>4</v>
      </c>
      <c r="DN45" s="883">
        <f t="shared" si="136"/>
        <v>0</v>
      </c>
      <c r="DO45" s="593">
        <f t="shared" si="174"/>
        <v>1</v>
      </c>
      <c r="DP45" s="593">
        <f t="shared" si="175"/>
        <v>1</v>
      </c>
      <c r="DR45" s="504">
        <f t="shared" si="176"/>
        <v>2</v>
      </c>
      <c r="DS45" s="504">
        <f t="shared" si="177"/>
        <v>0</v>
      </c>
      <c r="DT45" s="504">
        <f t="shared" si="178"/>
        <v>0</v>
      </c>
      <c r="DZ45" s="835">
        <f t="shared" si="137"/>
        <v>-3.5283941780004761E-2</v>
      </c>
      <c r="EA45" s="836">
        <f t="shared" si="112"/>
        <v>0.18840968742543548</v>
      </c>
      <c r="EB45" s="836">
        <f t="shared" si="113"/>
        <v>0.93405511811023623</v>
      </c>
      <c r="EC45" s="836">
        <f t="shared" si="114"/>
        <v>2</v>
      </c>
      <c r="ED45" s="836">
        <f t="shared" si="115"/>
        <v>100</v>
      </c>
      <c r="EE45" s="836">
        <f t="shared" si="116"/>
        <v>100</v>
      </c>
      <c r="EF45" s="836">
        <f t="shared" si="117"/>
        <v>100</v>
      </c>
      <c r="EG45" s="837">
        <f t="shared" si="118"/>
        <v>100</v>
      </c>
      <c r="EH45" s="1053">
        <f t="shared" si="119"/>
        <v>100</v>
      </c>
      <c r="EI45" s="1053">
        <f t="shared" si="120"/>
        <v>100</v>
      </c>
      <c r="EJ45" s="1053">
        <f t="shared" si="121"/>
        <v>100</v>
      </c>
      <c r="EK45" s="1053">
        <f t="shared" si="122"/>
        <v>100</v>
      </c>
      <c r="EL45" s="1053">
        <f t="shared" si="123"/>
        <v>2</v>
      </c>
      <c r="EM45" s="1053">
        <f t="shared" si="124"/>
        <v>0.93405511811023623</v>
      </c>
      <c r="EN45" s="1053">
        <f t="shared" si="125"/>
        <v>0.18840968742543548</v>
      </c>
      <c r="EO45" s="1053">
        <f t="shared" si="126"/>
        <v>-3.5283941780004761E-2</v>
      </c>
      <c r="EP45" s="1067" t="str">
        <f t="shared" si="127"/>
        <v>ML3.5</v>
      </c>
      <c r="EQ45" s="835"/>
      <c r="ER45" s="837" t="str">
        <f t="shared" si="128"/>
        <v>ML1</v>
      </c>
      <c r="ES45" s="837" t="str">
        <f t="shared" si="138"/>
        <v>ML3.5</v>
      </c>
    </row>
    <row r="46" spans="1:149" s="504" customFormat="1" ht="15.75" thickBot="1" x14ac:dyDescent="0.3">
      <c r="A46" s="377" t="s">
        <v>1055</v>
      </c>
      <c r="B46" s="761" t="str">
        <f>VLOOKUP($A46,'TIS Site Config'!$A$3:$AQ$51,2,FALSE)</f>
        <v>D18</v>
      </c>
      <c r="C46" s="751" t="str">
        <f>IF(VLOOKUP($A46,'TIS Site Config'!$A$3:$AQ$51,3,FALSE)&lt;&gt;"",
              VLOOKUP($A46,'TIS Site Config'!$A$3:$AQ$51,3,FALSE),"")</f>
        <v/>
      </c>
      <c r="D46" s="933" t="str">
        <f>VLOOKUP($A46,'TIS Site Config'!$A$3:$AQ$51,4,FALSE)</f>
        <v>Barrow Environmental Observatory</v>
      </c>
      <c r="E46" s="786">
        <f t="shared" si="129"/>
        <v>4</v>
      </c>
      <c r="F46" s="866"/>
      <c r="G46" s="365">
        <v>0.2</v>
      </c>
      <c r="H46" s="373">
        <v>1</v>
      </c>
      <c r="I46" s="373">
        <v>3.5</v>
      </c>
      <c r="J46" s="373">
        <v>6</v>
      </c>
      <c r="K46" s="373"/>
      <c r="L46" s="373"/>
      <c r="M46" s="373"/>
      <c r="N46" s="374"/>
      <c r="O46" s="617">
        <v>26</v>
      </c>
      <c r="P46" s="618" t="s">
        <v>139</v>
      </c>
      <c r="Q46" s="772">
        <f t="shared" si="130"/>
        <v>2</v>
      </c>
      <c r="R46" s="620">
        <v>1</v>
      </c>
      <c r="S46" s="620"/>
      <c r="T46" s="371" t="s">
        <v>205</v>
      </c>
      <c r="U46" s="371" t="s">
        <v>203</v>
      </c>
      <c r="V46" s="371"/>
      <c r="W46" s="371"/>
      <c r="X46" s="371"/>
      <c r="Y46" s="371"/>
      <c r="Z46" s="371"/>
      <c r="AA46" s="371"/>
      <c r="AB46" s="371"/>
      <c r="AC46" s="371"/>
      <c r="AD46" s="371"/>
      <c r="AE46" s="371"/>
      <c r="AF46" s="371"/>
      <c r="AG46" s="371"/>
      <c r="AH46" s="371"/>
      <c r="AI46" s="371"/>
      <c r="AJ46" s="371"/>
      <c r="AK46" s="608"/>
      <c r="AL46" s="375">
        <v>10.5</v>
      </c>
      <c r="AM46" s="775">
        <f t="shared" si="131"/>
        <v>15.5</v>
      </c>
      <c r="AN46" s="373"/>
      <c r="AO46" s="789">
        <f t="shared" si="145"/>
        <v>1.2083333333333333</v>
      </c>
      <c r="AP46" s="844">
        <v>0.2</v>
      </c>
      <c r="AQ46" s="845">
        <v>1</v>
      </c>
      <c r="AR46" s="845">
        <v>3.5</v>
      </c>
      <c r="AS46" s="845">
        <v>6</v>
      </c>
      <c r="AT46" s="845"/>
      <c r="AU46" s="845"/>
      <c r="AV46" s="845"/>
      <c r="AW46" s="846"/>
      <c r="AX46" s="857">
        <v>0.2</v>
      </c>
      <c r="AY46" s="858">
        <v>1</v>
      </c>
      <c r="AZ46" s="858">
        <v>3.5</v>
      </c>
      <c r="BA46" s="858">
        <v>6</v>
      </c>
      <c r="BB46" s="858">
        <v>0</v>
      </c>
      <c r="BC46" s="858">
        <v>0</v>
      </c>
      <c r="BD46" s="858">
        <v>0</v>
      </c>
      <c r="BE46" s="859">
        <v>0</v>
      </c>
      <c r="BF46" s="794">
        <f t="shared" si="147"/>
        <v>-5.0196850393700782E-2</v>
      </c>
      <c r="BG46" s="599">
        <f t="shared" si="148"/>
        <v>0.18840968742543548</v>
      </c>
      <c r="BH46" s="599">
        <f t="shared" si="149"/>
        <v>0.93405511811023623</v>
      </c>
      <c r="BI46" s="599">
        <f t="shared" si="150"/>
        <v>2</v>
      </c>
      <c r="BJ46" s="599">
        <f t="shared" si="151"/>
        <v>0</v>
      </c>
      <c r="BK46" s="599">
        <f t="shared" si="152"/>
        <v>0</v>
      </c>
      <c r="BL46" s="599">
        <f t="shared" si="153"/>
        <v>0</v>
      </c>
      <c r="BM46" s="795">
        <f t="shared" si="154"/>
        <v>0</v>
      </c>
      <c r="BN46" s="802">
        <f t="shared" si="139"/>
        <v>3</v>
      </c>
      <c r="BO46" s="371">
        <f t="shared" si="179"/>
        <v>0</v>
      </c>
      <c r="BP46" s="371">
        <f t="shared" si="179"/>
        <v>1</v>
      </c>
      <c r="BQ46" s="371" t="str">
        <f t="shared" si="179"/>
        <v/>
      </c>
      <c r="BR46" s="371" t="str">
        <f t="shared" si="179"/>
        <v/>
      </c>
      <c r="BS46" s="371" t="str">
        <f t="shared" si="179"/>
        <v/>
      </c>
      <c r="BT46" s="371" t="str">
        <f t="shared" si="179"/>
        <v/>
      </c>
      <c r="BU46" s="371" t="str">
        <f t="shared" si="179"/>
        <v/>
      </c>
      <c r="BV46" s="371" t="str">
        <f t="shared" si="179"/>
        <v/>
      </c>
      <c r="BW46" s="371" t="str">
        <f t="shared" si="179"/>
        <v/>
      </c>
      <c r="BX46" s="371" t="str">
        <f t="shared" si="179"/>
        <v/>
      </c>
      <c r="BY46" s="371" t="str">
        <f t="shared" si="179"/>
        <v/>
      </c>
      <c r="BZ46" s="371" t="str">
        <f t="shared" si="179"/>
        <v/>
      </c>
      <c r="CA46" s="371" t="str">
        <f t="shared" si="179"/>
        <v/>
      </c>
      <c r="CB46" s="371" t="str">
        <f t="shared" si="179"/>
        <v/>
      </c>
      <c r="CC46" s="371" t="str">
        <f t="shared" si="179"/>
        <v/>
      </c>
      <c r="CD46" s="371" t="str">
        <f t="shared" si="180"/>
        <v/>
      </c>
      <c r="CE46" s="371" t="str">
        <f t="shared" si="180"/>
        <v/>
      </c>
      <c r="CF46" s="799" t="str">
        <f t="shared" si="142"/>
        <v/>
      </c>
      <c r="CG46" s="807" t="str">
        <f t="shared" si="156"/>
        <v>B, ML above</v>
      </c>
      <c r="CH46" s="595" t="str">
        <f t="shared" si="157"/>
        <v>TOP</v>
      </c>
      <c r="CI46" s="595" t="str">
        <f t="shared" si="158"/>
        <v/>
      </c>
      <c r="CJ46" s="595" t="str">
        <f t="shared" si="159"/>
        <v/>
      </c>
      <c r="CK46" s="595" t="str">
        <f t="shared" si="160"/>
        <v/>
      </c>
      <c r="CL46" s="595" t="str">
        <f t="shared" si="161"/>
        <v/>
      </c>
      <c r="CM46" s="595" t="str">
        <f t="shared" si="162"/>
        <v/>
      </c>
      <c r="CN46" s="595" t="str">
        <f t="shared" si="163"/>
        <v/>
      </c>
      <c r="CO46" s="595" t="str">
        <f t="shared" si="164"/>
        <v/>
      </c>
      <c r="CP46" s="595" t="str">
        <f t="shared" si="165"/>
        <v/>
      </c>
      <c r="CQ46" s="595" t="str">
        <f t="shared" si="166"/>
        <v/>
      </c>
      <c r="CR46" s="595" t="str">
        <f t="shared" si="167"/>
        <v/>
      </c>
      <c r="CS46" s="595" t="str">
        <f t="shared" si="168"/>
        <v/>
      </c>
      <c r="CT46" s="595" t="str">
        <f t="shared" si="169"/>
        <v/>
      </c>
      <c r="CU46" s="595" t="str">
        <f t="shared" si="170"/>
        <v/>
      </c>
      <c r="CV46" s="595" t="str">
        <f t="shared" si="171"/>
        <v/>
      </c>
      <c r="CW46" s="595" t="str">
        <f t="shared" si="172"/>
        <v/>
      </c>
      <c r="CX46" s="808" t="str">
        <f t="shared" si="173"/>
        <v/>
      </c>
      <c r="CY46" s="816">
        <f>IF(VLOOKUP(A46,'TIS Site Config'!$A$4:$AQ$51,6,FALSE)="Non-heated",COUNTIF($CG46:$CX46,$DT$3),0)</f>
        <v>0</v>
      </c>
      <c r="CZ46" s="596">
        <f>IF(OR(VLOOKUP(A46,'TIS Site Config'!$A$4:$AQ$51,6,FALSE)="Heated",VLOOKUP(A46,'TIS Site Config'!$A$4:$AQ$51,6,FALSE)="Extreme Heated"),COUNTIF($CG46:$CX46,$DT$3),0)</f>
        <v>0</v>
      </c>
      <c r="DA46" s="596">
        <f>IF(VLOOKUP(A46,'TIS Site Config'!$A$4:$AQ$51,6,FALSE)="Non-heated",COUNTIF($CG46:$CX46,$DU$3),0)</f>
        <v>0</v>
      </c>
      <c r="DB46" s="596">
        <f>IF(OR(VLOOKUP(A46,'TIS Site Config'!$A$4:$AQ$51,6,FALSE)="Heated",VLOOKUP(A46,'TIS Site Config'!$A$4:$AQ$51,6,FALSE)="Extreme heated"),COUNTIF($CG46:$CX46,$DU$3),0)</f>
        <v>1</v>
      </c>
      <c r="DC46" s="596">
        <f>IF(VLOOKUP(A46,'TIS Site Config'!$A$4:$AQ$51,6,FALSE)="Non-heated",COUNTIF($CG46:$CX46,$DW$3),0)</f>
        <v>0</v>
      </c>
      <c r="DD46" s="596">
        <f>IF(OR(VLOOKUP(A46,'TIS Site Config'!$A$4:$AQ$51,6,FALSE)="Heated",VLOOKUP(A46,'TIS Site Config'!$A$4:$AQ$51,6,FALSE)="Extreme heated"),COUNTIF($CG46:$CX46,$DW$3),0)</f>
        <v>0</v>
      </c>
      <c r="DE46" s="596">
        <f t="shared" si="132"/>
        <v>0</v>
      </c>
      <c r="DF46" s="596">
        <f>IF(VLOOKUP(A46,'TIS Site Config'!$A$4:$AQ$51,6,FALSE)="Non-heated",COUNTIF($CG46:$CX46,$DX$3),0)</f>
        <v>0</v>
      </c>
      <c r="DG46" s="596">
        <f>IF(OR(VLOOKUP(A46,'TIS Site Config'!$A$4:$AQ$51,6,FALSE)="Heated",VLOOKUP(A46,'TIS Site Config'!$A$4:$AQ$51,6,FALSE)="Extreme heated"),COUNTIF($CG46:$CX46,$DX$3),0)</f>
        <v>1</v>
      </c>
      <c r="DH46" s="817"/>
      <c r="DI46" s="791">
        <f t="shared" si="133"/>
        <v>1</v>
      </c>
      <c r="DJ46" s="365">
        <f t="shared" si="134"/>
        <v>2</v>
      </c>
      <c r="DK46" s="365">
        <f t="shared" si="135"/>
        <v>0</v>
      </c>
      <c r="DL46" s="376">
        <v>1</v>
      </c>
      <c r="DM46" s="609">
        <f t="shared" si="146"/>
        <v>4</v>
      </c>
      <c r="DN46" s="883">
        <f t="shared" si="136"/>
        <v>0</v>
      </c>
      <c r="DO46" s="593">
        <f t="shared" si="174"/>
        <v>1</v>
      </c>
      <c r="DP46" s="593">
        <f t="shared" si="175"/>
        <v>1</v>
      </c>
      <c r="DR46" s="504">
        <f t="shared" si="176"/>
        <v>1</v>
      </c>
      <c r="DS46" s="504">
        <f t="shared" si="177"/>
        <v>0</v>
      </c>
      <c r="DT46" s="504">
        <f t="shared" si="178"/>
        <v>1</v>
      </c>
      <c r="DZ46" s="794">
        <f t="shared" si="137"/>
        <v>-5.0196850393700782E-2</v>
      </c>
      <c r="EA46" s="599">
        <f t="shared" si="112"/>
        <v>0.18840968742543548</v>
      </c>
      <c r="EB46" s="599">
        <f t="shared" si="113"/>
        <v>0.93405511811023623</v>
      </c>
      <c r="EC46" s="599">
        <f t="shared" si="114"/>
        <v>2</v>
      </c>
      <c r="ED46" s="599">
        <f t="shared" si="115"/>
        <v>100</v>
      </c>
      <c r="EE46" s="599">
        <f t="shared" si="116"/>
        <v>100</v>
      </c>
      <c r="EF46" s="599">
        <f t="shared" si="117"/>
        <v>100</v>
      </c>
      <c r="EG46" s="795">
        <f t="shared" si="118"/>
        <v>100</v>
      </c>
      <c r="EH46" s="1054">
        <f t="shared" si="119"/>
        <v>100</v>
      </c>
      <c r="EI46" s="1054">
        <f t="shared" si="120"/>
        <v>100</v>
      </c>
      <c r="EJ46" s="1054">
        <f t="shared" si="121"/>
        <v>100</v>
      </c>
      <c r="EK46" s="1054">
        <f t="shared" si="122"/>
        <v>100</v>
      </c>
      <c r="EL46" s="1054">
        <f t="shared" si="123"/>
        <v>2</v>
      </c>
      <c r="EM46" s="1054">
        <f t="shared" si="124"/>
        <v>0.93405511811023623</v>
      </c>
      <c r="EN46" s="1054">
        <f t="shared" si="125"/>
        <v>0.18840968742543548</v>
      </c>
      <c r="EO46" s="1054">
        <f t="shared" si="126"/>
        <v>-5.0196850393700782E-2</v>
      </c>
      <c r="EP46" s="1070" t="str">
        <f t="shared" si="127"/>
        <v>ML3.5</v>
      </c>
      <c r="EQ46" s="794"/>
      <c r="ER46" s="795" t="str">
        <f t="shared" si="128"/>
        <v>ML1</v>
      </c>
      <c r="ES46" s="795" t="str">
        <f t="shared" si="138"/>
        <v>ML3.5</v>
      </c>
    </row>
    <row r="47" spans="1:149" s="504" customFormat="1" x14ac:dyDescent="0.25">
      <c r="A47" s="584" t="s">
        <v>243</v>
      </c>
      <c r="B47" s="930" t="str">
        <f>VLOOKUP($A47,'TIS Site Config'!$A$3:$AQ$51,2,FALSE)</f>
        <v>D19</v>
      </c>
      <c r="C47" s="934" t="str">
        <f>IF(VLOOKUP($A47,'TIS Site Config'!$A$3:$AQ$51,3,FALSE)&lt;&gt;"",
              VLOOKUP($A47,'TIS Site Config'!$A$3:$AQ$51,3,FALSE),"")</f>
        <v/>
      </c>
      <c r="D47" s="931" t="str">
        <f>VLOOKUP($A47,'TIS Site Config'!$A$3:$AQ$51,4,FALSE)</f>
        <v>Caribou Creek - Poker Flats Watershed</v>
      </c>
      <c r="E47" s="784">
        <f t="shared" si="129"/>
        <v>5</v>
      </c>
      <c r="F47" s="864"/>
      <c r="G47" s="15">
        <v>0.15</v>
      </c>
      <c r="H47" s="821">
        <v>1.5</v>
      </c>
      <c r="I47" s="821">
        <v>4</v>
      </c>
      <c r="J47" s="821">
        <v>10</v>
      </c>
      <c r="K47" s="821">
        <v>18</v>
      </c>
      <c r="L47" s="821"/>
      <c r="M47" s="821"/>
      <c r="N47" s="827"/>
      <c r="O47" s="613">
        <v>59</v>
      </c>
      <c r="P47" s="619" t="s">
        <v>139</v>
      </c>
      <c r="Q47" s="770">
        <f t="shared" si="130"/>
        <v>5</v>
      </c>
      <c r="R47" s="611">
        <v>1</v>
      </c>
      <c r="S47" s="611"/>
      <c r="T47" s="368" t="s">
        <v>204</v>
      </c>
      <c r="U47" s="368" t="s">
        <v>203</v>
      </c>
      <c r="V47" s="368" t="s">
        <v>203</v>
      </c>
      <c r="W47" s="368" t="s">
        <v>203</v>
      </c>
      <c r="X47" s="368" t="s">
        <v>203</v>
      </c>
      <c r="Y47" s="368"/>
      <c r="Z47" s="368"/>
      <c r="AA47" s="368"/>
      <c r="AB47" s="368"/>
      <c r="AC47" s="368"/>
      <c r="AD47" s="368"/>
      <c r="AE47" s="368"/>
      <c r="AF47" s="368"/>
      <c r="AG47" s="368"/>
      <c r="AH47" s="368"/>
      <c r="AI47" s="368"/>
      <c r="AJ47" s="368"/>
      <c r="AK47" s="602"/>
      <c r="AL47" s="820">
        <v>56</v>
      </c>
      <c r="AM47" s="773">
        <f t="shared" si="131"/>
        <v>61</v>
      </c>
      <c r="AN47" s="821"/>
      <c r="AO47" s="787">
        <f t="shared" si="145"/>
        <v>5</v>
      </c>
      <c r="AP47" s="838">
        <v>0.15</v>
      </c>
      <c r="AQ47" s="839">
        <v>1.5</v>
      </c>
      <c r="AR47" s="839">
        <v>4</v>
      </c>
      <c r="AS47" s="839">
        <v>10</v>
      </c>
      <c r="AT47" s="839">
        <v>18</v>
      </c>
      <c r="AU47" s="839"/>
      <c r="AV47" s="839"/>
      <c r="AW47" s="840"/>
      <c r="AX47" s="860">
        <v>0.15</v>
      </c>
      <c r="AY47" s="852">
        <v>1.5</v>
      </c>
      <c r="AZ47" s="852">
        <v>4</v>
      </c>
      <c r="BA47" s="852">
        <v>10</v>
      </c>
      <c r="BB47" s="852">
        <v>18</v>
      </c>
      <c r="BC47" s="852">
        <v>0</v>
      </c>
      <c r="BD47" s="852">
        <v>0</v>
      </c>
      <c r="BE47" s="853">
        <v>0</v>
      </c>
      <c r="BF47" s="835">
        <f t="shared" si="147"/>
        <v>-0.40980672870436652</v>
      </c>
      <c r="BG47" s="836">
        <f t="shared" si="148"/>
        <v>-7.1581961345740745E-3</v>
      </c>
      <c r="BH47" s="836">
        <f t="shared" si="149"/>
        <v>0.73848723455022669</v>
      </c>
      <c r="BI47" s="836">
        <f t="shared" si="150"/>
        <v>2.5280362681937487</v>
      </c>
      <c r="BJ47" s="836">
        <f t="shared" si="151"/>
        <v>5</v>
      </c>
      <c r="BK47" s="836">
        <f t="shared" si="152"/>
        <v>0</v>
      </c>
      <c r="BL47" s="836">
        <f t="shared" si="153"/>
        <v>0</v>
      </c>
      <c r="BM47" s="837">
        <f t="shared" si="154"/>
        <v>0</v>
      </c>
      <c r="BN47" s="800">
        <f t="shared" si="139"/>
        <v>3</v>
      </c>
      <c r="BO47" s="368">
        <f t="shared" si="179"/>
        <v>0</v>
      </c>
      <c r="BP47" s="368">
        <f t="shared" si="179"/>
        <v>1</v>
      </c>
      <c r="BQ47" s="368">
        <f t="shared" si="179"/>
        <v>0</v>
      </c>
      <c r="BR47" s="368">
        <f t="shared" si="179"/>
        <v>0</v>
      </c>
      <c r="BS47" s="368">
        <f t="shared" si="179"/>
        <v>1</v>
      </c>
      <c r="BT47" s="368" t="str">
        <f t="shared" si="179"/>
        <v/>
      </c>
      <c r="BU47" s="368" t="str">
        <f t="shared" si="179"/>
        <v/>
      </c>
      <c r="BV47" s="368" t="str">
        <f t="shared" si="179"/>
        <v/>
      </c>
      <c r="BW47" s="368" t="str">
        <f t="shared" si="179"/>
        <v/>
      </c>
      <c r="BX47" s="368" t="str">
        <f t="shared" si="179"/>
        <v/>
      </c>
      <c r="BY47" s="368" t="str">
        <f t="shared" si="179"/>
        <v/>
      </c>
      <c r="BZ47" s="368" t="str">
        <f t="shared" si="179"/>
        <v/>
      </c>
      <c r="CA47" s="368" t="str">
        <f t="shared" si="179"/>
        <v/>
      </c>
      <c r="CB47" s="368" t="str">
        <f t="shared" si="179"/>
        <v/>
      </c>
      <c r="CC47" s="368" t="str">
        <f t="shared" si="179"/>
        <v/>
      </c>
      <c r="CD47" s="368" t="str">
        <f t="shared" si="180"/>
        <v/>
      </c>
      <c r="CE47" s="368" t="str">
        <f t="shared" si="180"/>
        <v/>
      </c>
      <c r="CF47" s="797" t="str">
        <f t="shared" si="142"/>
        <v/>
      </c>
      <c r="CG47" s="803" t="str">
        <f t="shared" si="156"/>
        <v>B, ML above</v>
      </c>
      <c r="CH47" s="591" t="str">
        <f t="shared" si="157"/>
        <v>ML</v>
      </c>
      <c r="CI47" s="591" t="str">
        <f t="shared" si="158"/>
        <v>p-thru</v>
      </c>
      <c r="CJ47" s="591" t="str">
        <f t="shared" si="159"/>
        <v>p-thru</v>
      </c>
      <c r="CK47" s="591" t="str">
        <f t="shared" si="160"/>
        <v>TOP</v>
      </c>
      <c r="CL47" s="591" t="str">
        <f t="shared" si="161"/>
        <v/>
      </c>
      <c r="CM47" s="591" t="str">
        <f t="shared" si="162"/>
        <v/>
      </c>
      <c r="CN47" s="591" t="str">
        <f t="shared" si="163"/>
        <v/>
      </c>
      <c r="CO47" s="591" t="str">
        <f t="shared" si="164"/>
        <v/>
      </c>
      <c r="CP47" s="591" t="str">
        <f t="shared" si="165"/>
        <v/>
      </c>
      <c r="CQ47" s="591" t="str">
        <f t="shared" si="166"/>
        <v/>
      </c>
      <c r="CR47" s="591" t="str">
        <f t="shared" si="167"/>
        <v/>
      </c>
      <c r="CS47" s="591" t="str">
        <f t="shared" si="168"/>
        <v/>
      </c>
      <c r="CT47" s="591" t="str">
        <f t="shared" si="169"/>
        <v/>
      </c>
      <c r="CU47" s="591" t="str">
        <f t="shared" si="170"/>
        <v/>
      </c>
      <c r="CV47" s="591" t="str">
        <f t="shared" si="171"/>
        <v/>
      </c>
      <c r="CW47" s="591" t="str">
        <f t="shared" si="172"/>
        <v/>
      </c>
      <c r="CX47" s="804" t="str">
        <f t="shared" si="173"/>
        <v/>
      </c>
      <c r="CY47" s="813">
        <f>IF(VLOOKUP(A47,'TIS Site Config'!$A$4:$AQ$51,6,FALSE)="Non-heated",COUNTIF($CG47:$CX47,$DT$3),0)</f>
        <v>0</v>
      </c>
      <c r="CZ47" s="592">
        <f>IF(OR(VLOOKUP(A47,'TIS Site Config'!$A$4:$AQ$51,6,FALSE)="Heated",VLOOKUP(A47,'TIS Site Config'!$A$4:$AQ$51,6,FALSE)="Extreme Heated"),COUNTIF($CG47:$CX47,$DT$3),0)</f>
        <v>0</v>
      </c>
      <c r="DA47" s="592">
        <f>IF(VLOOKUP(A47,'TIS Site Config'!$A$4:$AQ$51,6,FALSE)="Non-heated",COUNTIF($CG47:$CX47,$DU$3),0)</f>
        <v>0</v>
      </c>
      <c r="DB47" s="592">
        <f>IF(OR(VLOOKUP(A47,'TIS Site Config'!$A$4:$AQ$51,6,FALSE)="Heated",VLOOKUP(A47,'TIS Site Config'!$A$4:$AQ$51,6,FALSE)="Extreme heated"),COUNTIF($CG47:$CX47,$DU$3),0)</f>
        <v>1</v>
      </c>
      <c r="DC47" s="592">
        <f>IF(VLOOKUP(A47,'TIS Site Config'!$A$4:$AQ$51,6,FALSE)="Non-heated",COUNTIF($CG47:$CX47,$DW$3),0)</f>
        <v>0</v>
      </c>
      <c r="DD47" s="592">
        <f>IF(OR(VLOOKUP(A47,'TIS Site Config'!$A$4:$AQ$51,6,FALSE)="Heated",VLOOKUP(A47,'TIS Site Config'!$A$4:$AQ$51,6,FALSE)="Extreme heated"),COUNTIF($CG47:$CX47,$DW$3),0)</f>
        <v>1</v>
      </c>
      <c r="DE47" s="592">
        <f t="shared" si="132"/>
        <v>2</v>
      </c>
      <c r="DF47" s="592">
        <f>IF(VLOOKUP(A47,'TIS Site Config'!$A$4:$AQ$51,6,FALSE)="Non-heated",COUNTIF($CG47:$CX47,$DX$3),0)</f>
        <v>0</v>
      </c>
      <c r="DG47" s="592">
        <f>IF(OR(VLOOKUP(A47,'TIS Site Config'!$A$4:$AQ$51,6,FALSE)="Heated",VLOOKUP(A47,'TIS Site Config'!$A$4:$AQ$51,6,FALSE)="Extreme heated"),COUNTIF($CG47:$CX47,$DX$3),0)</f>
        <v>1</v>
      </c>
      <c r="DH47" s="814"/>
      <c r="DI47" s="810">
        <f t="shared" si="133"/>
        <v>1</v>
      </c>
      <c r="DJ47" s="355">
        <f t="shared" si="134"/>
        <v>2</v>
      </c>
      <c r="DK47" s="355">
        <f t="shared" si="135"/>
        <v>1</v>
      </c>
      <c r="DL47" s="603">
        <v>1</v>
      </c>
      <c r="DM47" s="604">
        <f t="shared" si="146"/>
        <v>5</v>
      </c>
      <c r="DN47" s="883">
        <f t="shared" si="136"/>
        <v>0</v>
      </c>
      <c r="DO47" s="593">
        <f t="shared" si="174"/>
        <v>1</v>
      </c>
      <c r="DP47" s="593">
        <f t="shared" si="175"/>
        <v>1</v>
      </c>
      <c r="DR47" s="504">
        <f t="shared" si="176"/>
        <v>4</v>
      </c>
      <c r="DS47" s="504">
        <f t="shared" si="177"/>
        <v>1</v>
      </c>
      <c r="DT47" s="504">
        <f t="shared" si="178"/>
        <v>0</v>
      </c>
      <c r="DZ47" s="835">
        <f t="shared" si="137"/>
        <v>-0.40980672870436652</v>
      </c>
      <c r="EA47" s="836">
        <f t="shared" si="112"/>
        <v>-7.1581961345740745E-3</v>
      </c>
      <c r="EB47" s="836">
        <f t="shared" si="113"/>
        <v>0.73848723455022669</v>
      </c>
      <c r="EC47" s="836">
        <f t="shared" si="114"/>
        <v>2.5280362681937487</v>
      </c>
      <c r="ED47" s="836">
        <f t="shared" si="115"/>
        <v>5</v>
      </c>
      <c r="EE47" s="836">
        <f t="shared" si="116"/>
        <v>100</v>
      </c>
      <c r="EF47" s="836">
        <f t="shared" si="117"/>
        <v>100</v>
      </c>
      <c r="EG47" s="837">
        <f t="shared" si="118"/>
        <v>100</v>
      </c>
      <c r="EH47" s="1053">
        <f t="shared" si="119"/>
        <v>100</v>
      </c>
      <c r="EI47" s="1053">
        <f t="shared" si="120"/>
        <v>100</v>
      </c>
      <c r="EJ47" s="1053">
        <f t="shared" si="121"/>
        <v>100</v>
      </c>
      <c r="EK47" s="1053">
        <f t="shared" si="122"/>
        <v>5</v>
      </c>
      <c r="EL47" s="1053">
        <f t="shared" si="123"/>
        <v>2.5280362681937487</v>
      </c>
      <c r="EM47" s="1053">
        <f t="shared" si="124"/>
        <v>0.73848723455022669</v>
      </c>
      <c r="EN47" s="1053">
        <f t="shared" si="125"/>
        <v>-7.1581961345740745E-3</v>
      </c>
      <c r="EO47" s="1053">
        <f t="shared" si="126"/>
        <v>-0.40980672870436652</v>
      </c>
      <c r="EP47" s="1067" t="str">
        <f t="shared" si="127"/>
        <v>ML3.5</v>
      </c>
      <c r="EQ47" s="835"/>
      <c r="ER47" s="837" t="str">
        <f t="shared" si="128"/>
        <v>ML2</v>
      </c>
      <c r="ES47" s="837" t="str">
        <f t="shared" si="138"/>
        <v>ML4.5</v>
      </c>
    </row>
    <row r="48" spans="1:149" s="504" customFormat="1" x14ac:dyDescent="0.25">
      <c r="A48" s="514" t="s">
        <v>225</v>
      </c>
      <c r="B48" s="757" t="str">
        <f>VLOOKUP($A48,'TIS Site Config'!$A$3:$AQ$51,2,FALSE)</f>
        <v>D19</v>
      </c>
      <c r="C48" s="753" t="str">
        <f>IF(VLOOKUP($A48,'TIS Site Config'!$A$3:$AQ$51,3,FALSE)&lt;&gt;"",
              VLOOKUP($A48,'TIS Site Config'!$A$3:$AQ$51,3,FALSE),"")</f>
        <v/>
      </c>
      <c r="D48" s="932" t="str">
        <f>VLOOKUP($A48,'TIS Site Config'!$A$3:$AQ$51,4,FALSE)</f>
        <v>Delta Junction</v>
      </c>
      <c r="E48" s="784">
        <f t="shared" si="129"/>
        <v>5</v>
      </c>
      <c r="F48" s="864"/>
      <c r="G48" s="13">
        <v>0.15</v>
      </c>
      <c r="H48" s="824">
        <v>1</v>
      </c>
      <c r="I48" s="824">
        <v>6</v>
      </c>
      <c r="J48" s="824">
        <v>13</v>
      </c>
      <c r="K48" s="824">
        <v>19</v>
      </c>
      <c r="L48" s="824"/>
      <c r="M48" s="824"/>
      <c r="N48" s="829"/>
      <c r="O48" s="615">
        <v>72</v>
      </c>
      <c r="P48" s="627" t="s">
        <v>138</v>
      </c>
      <c r="Q48" s="770">
        <f t="shared" si="130"/>
        <v>6</v>
      </c>
      <c r="R48" s="611">
        <v>1</v>
      </c>
      <c r="S48" s="611"/>
      <c r="T48" s="366" t="s">
        <v>203</v>
      </c>
      <c r="U48" s="366" t="s">
        <v>203</v>
      </c>
      <c r="V48" s="366" t="s">
        <v>203</v>
      </c>
      <c r="W48" s="366" t="s">
        <v>203</v>
      </c>
      <c r="X48" s="366" t="s">
        <v>203</v>
      </c>
      <c r="Y48" s="366" t="s">
        <v>203</v>
      </c>
      <c r="Z48" s="366"/>
      <c r="AA48" s="366"/>
      <c r="AB48" s="366"/>
      <c r="AC48" s="366"/>
      <c r="AD48" s="366"/>
      <c r="AE48" s="366"/>
      <c r="AF48" s="366"/>
      <c r="AG48" s="366"/>
      <c r="AH48" s="366"/>
      <c r="AI48" s="366"/>
      <c r="AJ48" s="366"/>
      <c r="AK48" s="605"/>
      <c r="AL48" s="508">
        <v>4.5</v>
      </c>
      <c r="AM48" s="773">
        <f t="shared" si="131"/>
        <v>27</v>
      </c>
      <c r="AN48" s="824"/>
      <c r="AO48" s="787">
        <f t="shared" si="145"/>
        <v>2.1666666666666665</v>
      </c>
      <c r="AP48" s="841">
        <v>0.15</v>
      </c>
      <c r="AQ48" s="842">
        <v>1</v>
      </c>
      <c r="AR48" s="842">
        <v>6</v>
      </c>
      <c r="AS48" s="842">
        <v>13</v>
      </c>
      <c r="AT48" s="842">
        <v>19</v>
      </c>
      <c r="AU48" s="842"/>
      <c r="AV48" s="842"/>
      <c r="AW48" s="843"/>
      <c r="AX48" s="854">
        <v>0.15</v>
      </c>
      <c r="AY48" s="855">
        <v>1</v>
      </c>
      <c r="AZ48" s="855">
        <v>6</v>
      </c>
      <c r="BA48" s="855">
        <v>13</v>
      </c>
      <c r="BB48" s="855">
        <v>19</v>
      </c>
      <c r="BC48" s="855">
        <v>0</v>
      </c>
      <c r="BD48" s="855">
        <v>0</v>
      </c>
      <c r="BE48" s="856">
        <v>0</v>
      </c>
      <c r="BF48" s="792">
        <f t="shared" si="147"/>
        <v>-0.15223097112860892</v>
      </c>
      <c r="BG48" s="598">
        <f t="shared" si="148"/>
        <v>0.10128847530422336</v>
      </c>
      <c r="BH48" s="598">
        <f t="shared" si="149"/>
        <v>1.5925793366738248</v>
      </c>
      <c r="BI48" s="598">
        <f t="shared" si="150"/>
        <v>3.6803865425912674</v>
      </c>
      <c r="BJ48" s="598">
        <f t="shared" si="151"/>
        <v>6</v>
      </c>
      <c r="BK48" s="598">
        <f t="shared" si="152"/>
        <v>0</v>
      </c>
      <c r="BL48" s="598">
        <f t="shared" si="153"/>
        <v>0</v>
      </c>
      <c r="BM48" s="793">
        <f t="shared" si="154"/>
        <v>0</v>
      </c>
      <c r="BN48" s="801">
        <f t="shared" si="139"/>
        <v>2</v>
      </c>
      <c r="BO48" s="366">
        <f t="shared" si="179"/>
        <v>1</v>
      </c>
      <c r="BP48" s="366">
        <f t="shared" si="179"/>
        <v>0</v>
      </c>
      <c r="BQ48" s="366">
        <f t="shared" si="179"/>
        <v>1</v>
      </c>
      <c r="BR48" s="366">
        <f t="shared" si="179"/>
        <v>0</v>
      </c>
      <c r="BS48" s="366">
        <f t="shared" si="179"/>
        <v>0</v>
      </c>
      <c r="BT48" s="366">
        <f t="shared" si="179"/>
        <v>1</v>
      </c>
      <c r="BU48" s="366" t="str">
        <f t="shared" si="179"/>
        <v/>
      </c>
      <c r="BV48" s="366" t="str">
        <f t="shared" si="179"/>
        <v/>
      </c>
      <c r="BW48" s="366" t="str">
        <f t="shared" si="179"/>
        <v/>
      </c>
      <c r="BX48" s="366" t="str">
        <f t="shared" si="179"/>
        <v/>
      </c>
      <c r="BY48" s="366" t="str">
        <f t="shared" si="179"/>
        <v/>
      </c>
      <c r="BZ48" s="366" t="str">
        <f t="shared" si="179"/>
        <v/>
      </c>
      <c r="CA48" s="366" t="str">
        <f t="shared" si="179"/>
        <v/>
      </c>
      <c r="CB48" s="366" t="str">
        <f t="shared" si="179"/>
        <v/>
      </c>
      <c r="CC48" s="366" t="str">
        <f t="shared" si="179"/>
        <v/>
      </c>
      <c r="CD48" s="366" t="str">
        <f t="shared" si="180"/>
        <v/>
      </c>
      <c r="CE48" s="366" t="str">
        <f t="shared" si="180"/>
        <v/>
      </c>
      <c r="CF48" s="798" t="str">
        <f t="shared" si="142"/>
        <v/>
      </c>
      <c r="CG48" s="805" t="str">
        <f t="shared" si="156"/>
        <v>B, ML above</v>
      </c>
      <c r="CH48" s="594" t="str">
        <f t="shared" si="157"/>
        <v>p-thru</v>
      </c>
      <c r="CI48" s="594" t="str">
        <f t="shared" si="158"/>
        <v>ML</v>
      </c>
      <c r="CJ48" s="594" t="str">
        <f t="shared" si="159"/>
        <v>p-thru</v>
      </c>
      <c r="CK48" s="594" t="str">
        <f t="shared" si="160"/>
        <v>p-thru</v>
      </c>
      <c r="CL48" s="594" t="str">
        <f t="shared" si="161"/>
        <v>TOP</v>
      </c>
      <c r="CM48" s="594" t="str">
        <f t="shared" si="162"/>
        <v/>
      </c>
      <c r="CN48" s="594" t="str">
        <f t="shared" si="163"/>
        <v/>
      </c>
      <c r="CO48" s="594" t="str">
        <f t="shared" si="164"/>
        <v/>
      </c>
      <c r="CP48" s="594" t="str">
        <f t="shared" si="165"/>
        <v/>
      </c>
      <c r="CQ48" s="594" t="str">
        <f t="shared" si="166"/>
        <v/>
      </c>
      <c r="CR48" s="594" t="str">
        <f t="shared" si="167"/>
        <v/>
      </c>
      <c r="CS48" s="594" t="str">
        <f t="shared" si="168"/>
        <v/>
      </c>
      <c r="CT48" s="594" t="str">
        <f t="shared" si="169"/>
        <v/>
      </c>
      <c r="CU48" s="594" t="str">
        <f t="shared" si="170"/>
        <v/>
      </c>
      <c r="CV48" s="594" t="str">
        <f t="shared" si="171"/>
        <v/>
      </c>
      <c r="CW48" s="594" t="str">
        <f t="shared" si="172"/>
        <v/>
      </c>
      <c r="CX48" s="806" t="str">
        <f t="shared" si="173"/>
        <v/>
      </c>
      <c r="CY48" s="815">
        <f>IF(VLOOKUP(A48,'TIS Site Config'!$A$4:$AQ$51,6,FALSE)="Non-heated",COUNTIF($CG48:$CX48,$DT$3),0)</f>
        <v>0</v>
      </c>
      <c r="CZ48" s="738">
        <f>IF(OR(VLOOKUP(A48,'TIS Site Config'!$A$4:$AQ$51,6,FALSE)="Heated",VLOOKUP(A48,'TIS Site Config'!$A$4:$AQ$51,6,FALSE)="Extreme Heated"),COUNTIF($CG48:$CX48,$DT$3),0)</f>
        <v>0</v>
      </c>
      <c r="DA48" s="738">
        <f>IF(VLOOKUP(A48,'TIS Site Config'!$A$4:$AQ$51,6,FALSE)="Non-heated",COUNTIF($CG48:$CX48,$DU$3),0)</f>
        <v>0</v>
      </c>
      <c r="DB48" s="738">
        <f>IF(OR(VLOOKUP(A48,'TIS Site Config'!$A$4:$AQ$51,6,FALSE)="Heated",VLOOKUP(A48,'TIS Site Config'!$A$4:$AQ$51,6,FALSE)="Extreme heated"),COUNTIF($CG48:$CX48,$DU$3),0)</f>
        <v>1</v>
      </c>
      <c r="DC48" s="738">
        <f>IF(VLOOKUP(A48,'TIS Site Config'!$A$4:$AQ$51,6,FALSE)="Non-heated",COUNTIF($CG48:$CX48,$DW$3),0)</f>
        <v>0</v>
      </c>
      <c r="DD48" s="738">
        <f>IF(OR(VLOOKUP(A48,'TIS Site Config'!$A$4:$AQ$51,6,FALSE)="Heated",VLOOKUP(A48,'TIS Site Config'!$A$4:$AQ$51,6,FALSE)="Extreme heated"),COUNTIF($CG48:$CX48,$DW$3),0)</f>
        <v>1</v>
      </c>
      <c r="DE48" s="738">
        <f t="shared" si="132"/>
        <v>3</v>
      </c>
      <c r="DF48" s="738">
        <f>IF(VLOOKUP(A48,'TIS Site Config'!$A$4:$AQ$51,6,FALSE)="Non-heated",COUNTIF($CG48:$CX48,$DX$3),0)</f>
        <v>0</v>
      </c>
      <c r="DG48" s="738">
        <f>IF(OR(VLOOKUP(A48,'TIS Site Config'!$A$4:$AQ$51,6,FALSE)="Heated",VLOOKUP(A48,'TIS Site Config'!$A$4:$AQ$51,6,FALSE)="Extreme heated"),COUNTIF($CG48:$CX48,$DX$3),0)</f>
        <v>1</v>
      </c>
      <c r="DH48" s="812"/>
      <c r="DI48" s="790">
        <f t="shared" si="133"/>
        <v>0</v>
      </c>
      <c r="DJ48" s="357">
        <f t="shared" si="134"/>
        <v>0</v>
      </c>
      <c r="DK48" s="357">
        <f t="shared" si="135"/>
        <v>4</v>
      </c>
      <c r="DL48" s="606">
        <v>1</v>
      </c>
      <c r="DM48" s="607">
        <f t="shared" si="146"/>
        <v>5</v>
      </c>
      <c r="DN48" s="883">
        <f t="shared" si="136"/>
        <v>0</v>
      </c>
      <c r="DO48" s="593">
        <f t="shared" si="174"/>
        <v>1</v>
      </c>
      <c r="DP48" s="593">
        <f t="shared" si="175"/>
        <v>2</v>
      </c>
      <c r="DR48" s="504">
        <f t="shared" si="176"/>
        <v>6</v>
      </c>
      <c r="DS48" s="504">
        <f t="shared" si="177"/>
        <v>0</v>
      </c>
      <c r="DT48" s="504">
        <f t="shared" si="178"/>
        <v>0</v>
      </c>
      <c r="DZ48" s="792">
        <f t="shared" si="137"/>
        <v>-0.15223097112860892</v>
      </c>
      <c r="EA48" s="598">
        <f t="shared" si="112"/>
        <v>0.10128847530422336</v>
      </c>
      <c r="EB48" s="598">
        <f t="shared" si="113"/>
        <v>1.5925793366738248</v>
      </c>
      <c r="EC48" s="598">
        <f t="shared" si="114"/>
        <v>3.6803865425912674</v>
      </c>
      <c r="ED48" s="598">
        <f t="shared" si="115"/>
        <v>6</v>
      </c>
      <c r="EE48" s="598">
        <f t="shared" si="116"/>
        <v>100</v>
      </c>
      <c r="EF48" s="598">
        <f t="shared" si="117"/>
        <v>100</v>
      </c>
      <c r="EG48" s="793">
        <f t="shared" si="118"/>
        <v>100</v>
      </c>
      <c r="EH48" s="1055">
        <f t="shared" si="119"/>
        <v>100</v>
      </c>
      <c r="EI48" s="1055">
        <f t="shared" si="120"/>
        <v>100</v>
      </c>
      <c r="EJ48" s="1055">
        <f t="shared" si="121"/>
        <v>100</v>
      </c>
      <c r="EK48" s="1055">
        <f t="shared" si="122"/>
        <v>6</v>
      </c>
      <c r="EL48" s="1055">
        <f t="shared" si="123"/>
        <v>3.6803865425912674</v>
      </c>
      <c r="EM48" s="1055">
        <f t="shared" si="124"/>
        <v>1.5925793366738248</v>
      </c>
      <c r="EN48" s="1055">
        <f t="shared" si="125"/>
        <v>0.10128847530422336</v>
      </c>
      <c r="EO48" s="1055">
        <f t="shared" si="126"/>
        <v>-0.15223097112860892</v>
      </c>
      <c r="EP48" s="1068" t="str">
        <f t="shared" si="127"/>
        <v>ML3</v>
      </c>
      <c r="EQ48" s="792"/>
      <c r="ER48" s="793" t="str">
        <f t="shared" si="128"/>
        <v>ML1</v>
      </c>
      <c r="ES48" s="793" t="str">
        <f t="shared" si="138"/>
        <v>ML4.5</v>
      </c>
    </row>
    <row r="49" spans="1:149" s="504" customFormat="1" ht="15.75" thickBot="1" x14ac:dyDescent="0.3">
      <c r="A49" s="377" t="s">
        <v>226</v>
      </c>
      <c r="B49" s="761" t="str">
        <f>VLOOKUP($A49,'TIS Site Config'!$A$3:$AQ$51,2,FALSE)</f>
        <v>D19</v>
      </c>
      <c r="C49" s="751" t="str">
        <f>IF(VLOOKUP($A49,'TIS Site Config'!$A$3:$AQ$51,3,FALSE)&lt;&gt;"",
              VLOOKUP($A49,'TIS Site Config'!$A$3:$AQ$51,3,FALSE),"")</f>
        <v>D-FY15-3</v>
      </c>
      <c r="D49" s="933" t="str">
        <f>VLOOKUP($A49,'TIS Site Config'!$A$3:$AQ$51,4,FALSE)</f>
        <v>Healy (Eight Mile)</v>
      </c>
      <c r="E49" s="786">
        <f t="shared" si="129"/>
        <v>4</v>
      </c>
      <c r="F49" s="866"/>
      <c r="G49" s="823">
        <v>0.2</v>
      </c>
      <c r="H49" s="823">
        <v>1</v>
      </c>
      <c r="I49" s="823">
        <v>4.5</v>
      </c>
      <c r="J49" s="823">
        <v>8</v>
      </c>
      <c r="K49" s="823"/>
      <c r="L49" s="823"/>
      <c r="M49" s="823"/>
      <c r="N49" s="828"/>
      <c r="O49" s="617">
        <v>26</v>
      </c>
      <c r="P49" s="624" t="s">
        <v>139</v>
      </c>
      <c r="Q49" s="772">
        <f t="shared" si="130"/>
        <v>2</v>
      </c>
      <c r="R49" s="636" t="s">
        <v>408</v>
      </c>
      <c r="S49" s="636"/>
      <c r="T49" s="371"/>
      <c r="U49" s="371"/>
      <c r="V49" s="371"/>
      <c r="W49" s="371"/>
      <c r="X49" s="371"/>
      <c r="Y49" s="371"/>
      <c r="Z49" s="371"/>
      <c r="AA49" s="371"/>
      <c r="AB49" s="371"/>
      <c r="AC49" s="371"/>
      <c r="AD49" s="371"/>
      <c r="AE49" s="371"/>
      <c r="AF49" s="371"/>
      <c r="AG49" s="371"/>
      <c r="AH49" s="371"/>
      <c r="AI49" s="371"/>
      <c r="AJ49" s="371"/>
      <c r="AK49" s="608"/>
      <c r="AL49" s="822">
        <v>26</v>
      </c>
      <c r="AM49" s="775">
        <f t="shared" si="131"/>
        <v>31</v>
      </c>
      <c r="AN49" s="823"/>
      <c r="AO49" s="789">
        <f t="shared" si="145"/>
        <v>2.5</v>
      </c>
      <c r="AP49" s="844">
        <v>0.2</v>
      </c>
      <c r="AQ49" s="845">
        <v>1</v>
      </c>
      <c r="AR49" s="845">
        <v>4.5</v>
      </c>
      <c r="AS49" s="845">
        <v>8</v>
      </c>
      <c r="AT49" s="845"/>
      <c r="AU49" s="845"/>
      <c r="AV49" s="845"/>
      <c r="AW49" s="846"/>
      <c r="AX49" s="857">
        <v>0.2</v>
      </c>
      <c r="AY49" s="858">
        <v>1</v>
      </c>
      <c r="AZ49" s="858">
        <v>4.5</v>
      </c>
      <c r="BA49" s="858">
        <v>8</v>
      </c>
      <c r="BB49" s="858">
        <v>0</v>
      </c>
      <c r="BC49" s="858">
        <v>0</v>
      </c>
      <c r="BD49" s="858">
        <v>0</v>
      </c>
      <c r="BE49" s="859">
        <v>0</v>
      </c>
      <c r="BF49" s="794">
        <f t="shared" si="147"/>
        <v>-0.16762109281794321</v>
      </c>
      <c r="BG49" s="599">
        <f t="shared" si="148"/>
        <v>7.098544500119304E-2</v>
      </c>
      <c r="BH49" s="599">
        <f t="shared" si="149"/>
        <v>1.1148890479599141</v>
      </c>
      <c r="BI49" s="599">
        <f t="shared" si="150"/>
        <v>2</v>
      </c>
      <c r="BJ49" s="599">
        <f t="shared" si="151"/>
        <v>0</v>
      </c>
      <c r="BK49" s="599">
        <f t="shared" si="152"/>
        <v>0</v>
      </c>
      <c r="BL49" s="599">
        <f t="shared" si="153"/>
        <v>0</v>
      </c>
      <c r="BM49" s="795">
        <f t="shared" si="154"/>
        <v>0</v>
      </c>
      <c r="BN49" s="802">
        <f t="shared" si="139"/>
        <v>2</v>
      </c>
      <c r="BO49" s="371">
        <f t="shared" si="179"/>
        <v>1</v>
      </c>
      <c r="BP49" s="371">
        <f t="shared" si="179"/>
        <v>1</v>
      </c>
      <c r="BQ49" s="371" t="str">
        <f t="shared" si="179"/>
        <v/>
      </c>
      <c r="BR49" s="371" t="str">
        <f t="shared" si="179"/>
        <v/>
      </c>
      <c r="BS49" s="371" t="str">
        <f t="shared" si="179"/>
        <v/>
      </c>
      <c r="BT49" s="371" t="str">
        <f t="shared" si="179"/>
        <v/>
      </c>
      <c r="BU49" s="371" t="str">
        <f t="shared" si="179"/>
        <v/>
      </c>
      <c r="BV49" s="371" t="str">
        <f t="shared" si="179"/>
        <v/>
      </c>
      <c r="BW49" s="371" t="str">
        <f t="shared" si="179"/>
        <v/>
      </c>
      <c r="BX49" s="371" t="str">
        <f t="shared" si="179"/>
        <v/>
      </c>
      <c r="BY49" s="371" t="str">
        <f t="shared" si="179"/>
        <v/>
      </c>
      <c r="BZ49" s="371" t="str">
        <f t="shared" si="179"/>
        <v/>
      </c>
      <c r="CA49" s="371" t="str">
        <f t="shared" si="179"/>
        <v/>
      </c>
      <c r="CB49" s="371" t="str">
        <f t="shared" si="179"/>
        <v/>
      </c>
      <c r="CC49" s="371" t="str">
        <f t="shared" si="179"/>
        <v/>
      </c>
      <c r="CD49" s="371" t="str">
        <f t="shared" si="180"/>
        <v/>
      </c>
      <c r="CE49" s="371" t="str">
        <f t="shared" si="180"/>
        <v/>
      </c>
      <c r="CF49" s="799" t="str">
        <f t="shared" si="142"/>
        <v/>
      </c>
      <c r="CG49" s="807" t="str">
        <f t="shared" si="156"/>
        <v>B, ML above</v>
      </c>
      <c r="CH49" s="595" t="str">
        <f t="shared" si="157"/>
        <v>TOP</v>
      </c>
      <c r="CI49" s="595" t="str">
        <f t="shared" si="158"/>
        <v/>
      </c>
      <c r="CJ49" s="595" t="str">
        <f t="shared" si="159"/>
        <v/>
      </c>
      <c r="CK49" s="595" t="str">
        <f t="shared" si="160"/>
        <v/>
      </c>
      <c r="CL49" s="595" t="str">
        <f t="shared" si="161"/>
        <v/>
      </c>
      <c r="CM49" s="595" t="str">
        <f t="shared" si="162"/>
        <v/>
      </c>
      <c r="CN49" s="595" t="str">
        <f t="shared" si="163"/>
        <v/>
      </c>
      <c r="CO49" s="595" t="str">
        <f t="shared" si="164"/>
        <v/>
      </c>
      <c r="CP49" s="595" t="str">
        <f t="shared" si="165"/>
        <v/>
      </c>
      <c r="CQ49" s="595" t="str">
        <f t="shared" si="166"/>
        <v/>
      </c>
      <c r="CR49" s="595" t="str">
        <f t="shared" si="167"/>
        <v/>
      </c>
      <c r="CS49" s="595" t="str">
        <f t="shared" si="168"/>
        <v/>
      </c>
      <c r="CT49" s="595" t="str">
        <f t="shared" si="169"/>
        <v/>
      </c>
      <c r="CU49" s="595" t="str">
        <f t="shared" si="170"/>
        <v/>
      </c>
      <c r="CV49" s="595" t="str">
        <f t="shared" si="171"/>
        <v/>
      </c>
      <c r="CW49" s="595" t="str">
        <f t="shared" si="172"/>
        <v/>
      </c>
      <c r="CX49" s="808" t="str">
        <f t="shared" si="173"/>
        <v/>
      </c>
      <c r="CY49" s="816">
        <f>IF(VLOOKUP(A49,'TIS Site Config'!$A$4:$AQ$51,6,FALSE)="Non-heated",COUNTIF($CG49:$CX49,$DT$3),0)</f>
        <v>0</v>
      </c>
      <c r="CZ49" s="596">
        <f>IF(OR(VLOOKUP(A49,'TIS Site Config'!$A$4:$AQ$51,6,FALSE)="Heated",VLOOKUP(A49,'TIS Site Config'!$A$4:$AQ$51,6,FALSE)="Extreme Heated"),COUNTIF($CG49:$CX49,$DT$3),0)</f>
        <v>0</v>
      </c>
      <c r="DA49" s="596">
        <f>IF(VLOOKUP(A49,'TIS Site Config'!$A$4:$AQ$51,6,FALSE)="Non-heated",COUNTIF($CG49:$CX49,$DU$3),0)</f>
        <v>0</v>
      </c>
      <c r="DB49" s="596">
        <f>IF(OR(VLOOKUP(A49,'TIS Site Config'!$A$4:$AQ$51,6,FALSE)="Heated",VLOOKUP(A49,'TIS Site Config'!$A$4:$AQ$51,6,FALSE)="Extreme heated"),COUNTIF($CG49:$CX49,$DU$3),0)</f>
        <v>1</v>
      </c>
      <c r="DC49" s="596">
        <f>IF(VLOOKUP(A49,'TIS Site Config'!$A$4:$AQ$51,6,FALSE)="Non-heated",COUNTIF($CG49:$CX49,$DW$3),0)</f>
        <v>0</v>
      </c>
      <c r="DD49" s="596">
        <f>IF(OR(VLOOKUP(A49,'TIS Site Config'!$A$4:$AQ$51,6,FALSE)="Heated",VLOOKUP(A49,'TIS Site Config'!$A$4:$AQ$51,6,FALSE)="Extreme heated"),COUNTIF($CG49:$CX49,$DW$3),0)</f>
        <v>0</v>
      </c>
      <c r="DE49" s="596">
        <f t="shared" si="132"/>
        <v>0</v>
      </c>
      <c r="DF49" s="596">
        <f>IF(VLOOKUP(A49,'TIS Site Config'!$A$4:$AQ$51,6,FALSE)="Non-heated",COUNTIF($CG49:$CX49,$DX$3),0)</f>
        <v>0</v>
      </c>
      <c r="DG49" s="596">
        <f>IF(OR(VLOOKUP(A49,'TIS Site Config'!$A$4:$AQ$51,6,FALSE)="Heated",VLOOKUP(A49,'TIS Site Config'!$A$4:$AQ$51,6,FALSE)="Extreme heated"),COUNTIF($CG49:$CX49,$DX$3),0)</f>
        <v>1</v>
      </c>
      <c r="DH49" s="817"/>
      <c r="DI49" s="791">
        <f t="shared" si="133"/>
        <v>0</v>
      </c>
      <c r="DJ49" s="365">
        <f t="shared" si="134"/>
        <v>0</v>
      </c>
      <c r="DK49" s="365">
        <f t="shared" si="135"/>
        <v>3</v>
      </c>
      <c r="DL49" s="376">
        <v>1</v>
      </c>
      <c r="DM49" s="609">
        <f t="shared" si="146"/>
        <v>4</v>
      </c>
      <c r="DN49" s="883">
        <f t="shared" si="136"/>
        <v>0</v>
      </c>
      <c r="DO49" s="593">
        <f t="shared" si="174"/>
        <v>1</v>
      </c>
      <c r="DP49" s="593">
        <f t="shared" si="175"/>
        <v>2</v>
      </c>
      <c r="DR49" s="504">
        <f t="shared" si="176"/>
        <v>0</v>
      </c>
      <c r="DS49" s="504">
        <f t="shared" si="177"/>
        <v>0</v>
      </c>
      <c r="DT49" s="504">
        <f t="shared" si="178"/>
        <v>0</v>
      </c>
      <c r="DZ49" s="794">
        <f t="shared" si="137"/>
        <v>-0.16762109281794321</v>
      </c>
      <c r="EA49" s="599">
        <f t="shared" si="112"/>
        <v>7.098544500119304E-2</v>
      </c>
      <c r="EB49" s="599">
        <f t="shared" si="113"/>
        <v>1.1148890479599141</v>
      </c>
      <c r="EC49" s="599">
        <f t="shared" si="114"/>
        <v>2</v>
      </c>
      <c r="ED49" s="599">
        <f t="shared" si="115"/>
        <v>100</v>
      </c>
      <c r="EE49" s="599">
        <f t="shared" si="116"/>
        <v>100</v>
      </c>
      <c r="EF49" s="599">
        <f t="shared" si="117"/>
        <v>100</v>
      </c>
      <c r="EG49" s="795">
        <f t="shared" si="118"/>
        <v>100</v>
      </c>
      <c r="EH49" s="1054">
        <f t="shared" si="119"/>
        <v>100</v>
      </c>
      <c r="EI49" s="1054">
        <f t="shared" si="120"/>
        <v>100</v>
      </c>
      <c r="EJ49" s="1054">
        <f t="shared" si="121"/>
        <v>100</v>
      </c>
      <c r="EK49" s="1054">
        <f t="shared" si="122"/>
        <v>100</v>
      </c>
      <c r="EL49" s="1054">
        <f t="shared" si="123"/>
        <v>2</v>
      </c>
      <c r="EM49" s="1054">
        <f t="shared" si="124"/>
        <v>1.1148890479599141</v>
      </c>
      <c r="EN49" s="1054">
        <f t="shared" si="125"/>
        <v>7.098544500119304E-2</v>
      </c>
      <c r="EO49" s="1054">
        <f t="shared" si="126"/>
        <v>-0.16762109281794321</v>
      </c>
      <c r="EP49" s="1066" t="str">
        <f t="shared" si="127"/>
        <v>ML3.5</v>
      </c>
      <c r="EQ49" s="794"/>
      <c r="ER49" s="795" t="str">
        <f t="shared" si="128"/>
        <v>ML1</v>
      </c>
      <c r="ES49" s="795" t="str">
        <f t="shared" si="138"/>
        <v>ML3.5</v>
      </c>
    </row>
    <row r="50" spans="1:149" s="504" customFormat="1" ht="15.75" thickBot="1" x14ac:dyDescent="0.3">
      <c r="A50" s="584" t="s">
        <v>1179</v>
      </c>
      <c r="B50" s="930" t="str">
        <f>VLOOKUP($A50,'TIS Site Config'!$A$3:$AQ$51,2,FALSE)</f>
        <v>D20</v>
      </c>
      <c r="C50" s="934" t="str">
        <f>IF(VLOOKUP($A50,'TIS Site Config'!$A$3:$AQ$51,3,FALSE)&lt;&gt;"",
              VLOOKUP($A50,'TIS Site Config'!$A$3:$AQ$51,3,FALSE),"")</f>
        <v/>
      </c>
      <c r="D50" s="931" t="str">
        <f>VLOOKUP($A50,'TIS Site Config'!$A$3:$AQ$51,4,FALSE)</f>
        <v>Pu'u Maka'ala Natural Area Reserve</v>
      </c>
      <c r="E50" s="784">
        <f t="shared" si="129"/>
        <v>6</v>
      </c>
      <c r="F50" s="864"/>
      <c r="G50" s="1131">
        <v>0.3</v>
      </c>
      <c r="H50" s="1131">
        <v>2</v>
      </c>
      <c r="I50" s="1131">
        <v>5</v>
      </c>
      <c r="J50" s="1131">
        <v>10</v>
      </c>
      <c r="K50" s="1131">
        <v>15</v>
      </c>
      <c r="L50" s="1131">
        <v>21.2</v>
      </c>
      <c r="M50" s="821"/>
      <c r="N50" s="827"/>
      <c r="O50" s="617">
        <v>105</v>
      </c>
      <c r="P50" s="1130" t="s">
        <v>138</v>
      </c>
      <c r="Q50" s="770">
        <f t="shared" si="130"/>
        <v>9</v>
      </c>
      <c r="R50" s="623">
        <v>0.6</v>
      </c>
      <c r="S50" s="651"/>
      <c r="T50" s="368" t="s">
        <v>203</v>
      </c>
      <c r="U50" s="368" t="s">
        <v>203</v>
      </c>
      <c r="V50" s="368" t="s">
        <v>203</v>
      </c>
      <c r="W50" s="368" t="s">
        <v>203</v>
      </c>
      <c r="X50" s="368" t="s">
        <v>203</v>
      </c>
      <c r="Y50" s="368" t="s">
        <v>203</v>
      </c>
      <c r="Z50" s="368" t="s">
        <v>203</v>
      </c>
      <c r="AA50" s="368" t="s">
        <v>203</v>
      </c>
      <c r="AB50" s="368" t="s">
        <v>203</v>
      </c>
      <c r="AC50" s="368"/>
      <c r="AD50" s="368"/>
      <c r="AE50" s="368"/>
      <c r="AF50" s="368"/>
      <c r="AG50" s="368"/>
      <c r="AH50" s="368"/>
      <c r="AI50" s="368"/>
      <c r="AJ50" s="368"/>
      <c r="AK50" s="602"/>
      <c r="AL50" s="1132">
        <v>4.5</v>
      </c>
      <c r="AM50" s="1133">
        <f t="shared" si="131"/>
        <v>27</v>
      </c>
      <c r="AN50" s="1131"/>
      <c r="AO50" s="1134">
        <f t="shared" si="145"/>
        <v>2.1666666666666665</v>
      </c>
      <c r="AP50" s="838">
        <v>0.3</v>
      </c>
      <c r="AQ50" s="839">
        <v>4</v>
      </c>
      <c r="AR50" s="839">
        <v>12</v>
      </c>
      <c r="AS50" s="839">
        <v>19</v>
      </c>
      <c r="AT50" s="839">
        <v>24</v>
      </c>
      <c r="AU50" s="839">
        <v>30.5</v>
      </c>
      <c r="AV50" s="839"/>
      <c r="AW50" s="840"/>
      <c r="AX50" s="860"/>
      <c r="AY50" s="852"/>
      <c r="AZ50" s="852"/>
      <c r="BA50" s="852"/>
      <c r="BB50" s="852"/>
      <c r="BC50" s="852"/>
      <c r="BD50" s="852">
        <v>0</v>
      </c>
      <c r="BE50" s="853">
        <v>0</v>
      </c>
      <c r="BF50" s="835">
        <f t="shared" si="147"/>
        <v>-0.10749224528752087</v>
      </c>
      <c r="BG50" s="836">
        <f t="shared" si="148"/>
        <v>0.99606299212598437</v>
      </c>
      <c r="BH50" s="836">
        <f t="shared" si="149"/>
        <v>3.3821283703173468</v>
      </c>
      <c r="BI50" s="836">
        <f t="shared" si="150"/>
        <v>5.4699355762347892</v>
      </c>
      <c r="BJ50" s="836">
        <f t="shared" si="151"/>
        <v>6.96122643760439</v>
      </c>
      <c r="BK50" s="836">
        <f t="shared" si="152"/>
        <v>9</v>
      </c>
      <c r="BL50" s="836">
        <f t="shared" si="153"/>
        <v>0</v>
      </c>
      <c r="BM50" s="837">
        <f t="shared" si="154"/>
        <v>0</v>
      </c>
      <c r="BN50" s="800">
        <f t="shared" si="139"/>
        <v>2</v>
      </c>
      <c r="BO50" s="368">
        <f t="shared" si="179"/>
        <v>0</v>
      </c>
      <c r="BP50" s="368">
        <f t="shared" si="179"/>
        <v>0</v>
      </c>
      <c r="BQ50" s="368">
        <f t="shared" si="179"/>
        <v>1</v>
      </c>
      <c r="BR50" s="368">
        <f t="shared" si="179"/>
        <v>0</v>
      </c>
      <c r="BS50" s="368">
        <f t="shared" si="179"/>
        <v>1</v>
      </c>
      <c r="BT50" s="368">
        <f t="shared" si="179"/>
        <v>1</v>
      </c>
      <c r="BU50" s="368">
        <f t="shared" si="179"/>
        <v>0</v>
      </c>
      <c r="BV50" s="368">
        <f t="shared" si="179"/>
        <v>0</v>
      </c>
      <c r="BW50" s="368">
        <f t="shared" si="179"/>
        <v>1</v>
      </c>
      <c r="BX50" s="368" t="str">
        <f t="shared" si="179"/>
        <v/>
      </c>
      <c r="BY50" s="368" t="str">
        <f t="shared" si="179"/>
        <v/>
      </c>
      <c r="BZ50" s="368" t="str">
        <f t="shared" si="179"/>
        <v/>
      </c>
      <c r="CA50" s="368" t="str">
        <f t="shared" si="179"/>
        <v/>
      </c>
      <c r="CB50" s="368" t="str">
        <f t="shared" si="179"/>
        <v/>
      </c>
      <c r="CC50" s="368" t="str">
        <f t="shared" si="179"/>
        <v/>
      </c>
      <c r="CD50" s="368" t="str">
        <f t="shared" si="180"/>
        <v/>
      </c>
      <c r="CE50" s="368" t="str">
        <f t="shared" si="180"/>
        <v/>
      </c>
      <c r="CF50" s="797" t="str">
        <f t="shared" si="142"/>
        <v/>
      </c>
      <c r="CG50" s="803" t="str">
        <f t="shared" si="156"/>
        <v>B, p-thru above</v>
      </c>
      <c r="CH50" s="591" t="str">
        <f t="shared" si="157"/>
        <v>p-thru</v>
      </c>
      <c r="CI50" s="591" t="str">
        <f t="shared" si="158"/>
        <v>ML</v>
      </c>
      <c r="CJ50" s="591" t="str">
        <f t="shared" si="159"/>
        <v>p-thru</v>
      </c>
      <c r="CK50" s="591" t="str">
        <f t="shared" si="160"/>
        <v>ML</v>
      </c>
      <c r="CL50" s="591" t="str">
        <f t="shared" si="161"/>
        <v>ML</v>
      </c>
      <c r="CM50" s="591" t="str">
        <f t="shared" si="162"/>
        <v>p-thru</v>
      </c>
      <c r="CN50" s="591" t="str">
        <f t="shared" si="163"/>
        <v>p-thru</v>
      </c>
      <c r="CO50" s="591" t="str">
        <f t="shared" si="164"/>
        <v>TOP</v>
      </c>
      <c r="CP50" s="591" t="str">
        <f t="shared" si="165"/>
        <v/>
      </c>
      <c r="CQ50" s="591" t="str">
        <f t="shared" si="166"/>
        <v/>
      </c>
      <c r="CR50" s="591" t="str">
        <f t="shared" si="167"/>
        <v/>
      </c>
      <c r="CS50" s="591" t="str">
        <f t="shared" si="168"/>
        <v/>
      </c>
      <c r="CT50" s="591" t="str">
        <f t="shared" si="169"/>
        <v/>
      </c>
      <c r="CU50" s="591" t="str">
        <f t="shared" si="170"/>
        <v/>
      </c>
      <c r="CV50" s="591" t="str">
        <f t="shared" si="171"/>
        <v/>
      </c>
      <c r="CW50" s="591" t="str">
        <f t="shared" si="172"/>
        <v/>
      </c>
      <c r="CX50" s="804" t="str">
        <f t="shared" si="173"/>
        <v/>
      </c>
      <c r="CY50" s="813">
        <f>IF(VLOOKUP(A50,'TIS Site Config'!$A$4:$AQ$51,6,FALSE)="Non-heated",COUNTIF($CG50:$CX50,$DT$3),0)</f>
        <v>1</v>
      </c>
      <c r="CZ50" s="592">
        <f>IF(OR(VLOOKUP(A50,'TIS Site Config'!$A$4:$AQ$51,6,FALSE)="Heated",VLOOKUP(A50,'TIS Site Config'!$A$4:$AQ$51,6,FALSE)="Extreme Heated"),COUNTIF($CG50:$CX50,$DT$3),0)</f>
        <v>0</v>
      </c>
      <c r="DA50" s="592">
        <f>IF(VLOOKUP(A50,'TIS Site Config'!$A$4:$AQ$51,6,FALSE)="Non-heated",COUNTIF($CG50:$CX50,$DU$3),0)</f>
        <v>0</v>
      </c>
      <c r="DB50" s="592">
        <f>IF(OR(VLOOKUP(A50,'TIS Site Config'!$A$4:$AQ$51,6,FALSE)="Heated",VLOOKUP(A50,'TIS Site Config'!$A$4:$AQ$51,6,FALSE)="Extreme heated"),COUNTIF($CG50:$CX50,$DU$3),0)</f>
        <v>0</v>
      </c>
      <c r="DC50" s="592">
        <f>IF(VLOOKUP(A50,'TIS Site Config'!$A$4:$AQ$51,6,FALSE)="Non-heated",COUNTIF($CG50:$CX50,$DW$3),0)</f>
        <v>3</v>
      </c>
      <c r="DD50" s="592">
        <f>IF(OR(VLOOKUP(A50,'TIS Site Config'!$A$4:$AQ$51,6,FALSE)="Heated",VLOOKUP(A50,'TIS Site Config'!$A$4:$AQ$51,6,FALSE)="Extreme heated"),COUNTIF($CG50:$CX50,$DW$3),0)</f>
        <v>0</v>
      </c>
      <c r="DE50" s="592">
        <f t="shared" si="132"/>
        <v>4</v>
      </c>
      <c r="DF50" s="592">
        <f>IF(VLOOKUP(A50,'TIS Site Config'!$A$4:$AQ$51,6,FALSE)="Non-heated",COUNTIF($CG50:$CX50,$DX$3),0)</f>
        <v>1</v>
      </c>
      <c r="DG50" s="592">
        <f>IF(OR(VLOOKUP(A50,'TIS Site Config'!$A$4:$AQ$51,6,FALSE)="Heated",VLOOKUP(A50,'TIS Site Config'!$A$4:$AQ$51,6,FALSE)="Extreme heated"),COUNTIF($CG50:$CX50,$DX$3),0)</f>
        <v>0</v>
      </c>
      <c r="DH50" s="814"/>
      <c r="DI50" s="810">
        <f t="shared" si="133"/>
        <v>0</v>
      </c>
      <c r="DJ50" s="355">
        <f t="shared" si="134"/>
        <v>0</v>
      </c>
      <c r="DK50" s="355">
        <f t="shared" si="135"/>
        <v>5</v>
      </c>
      <c r="DL50" s="603">
        <v>1</v>
      </c>
      <c r="DM50" s="604">
        <f t="shared" si="146"/>
        <v>6</v>
      </c>
      <c r="DN50" s="883">
        <f t="shared" si="136"/>
        <v>0</v>
      </c>
      <c r="DO50" s="593">
        <f t="shared" si="174"/>
        <v>1</v>
      </c>
      <c r="DP50" s="593">
        <f t="shared" si="175"/>
        <v>4</v>
      </c>
      <c r="DR50" s="504">
        <f t="shared" si="176"/>
        <v>9</v>
      </c>
      <c r="DS50" s="504">
        <f t="shared" si="177"/>
        <v>0</v>
      </c>
      <c r="DT50" s="504">
        <f t="shared" si="178"/>
        <v>0</v>
      </c>
      <c r="DZ50" s="835">
        <f t="shared" si="137"/>
        <v>-0.10749224528752087</v>
      </c>
      <c r="EA50" s="836">
        <f t="shared" si="112"/>
        <v>0.99606299212598437</v>
      </c>
      <c r="EB50" s="836">
        <f t="shared" si="113"/>
        <v>3.3821283703173468</v>
      </c>
      <c r="EC50" s="836">
        <f t="shared" si="114"/>
        <v>5.4699355762347892</v>
      </c>
      <c r="ED50" s="836">
        <f t="shared" si="115"/>
        <v>6.96122643760439</v>
      </c>
      <c r="EE50" s="836">
        <f t="shared" si="116"/>
        <v>9</v>
      </c>
      <c r="EF50" s="836">
        <f t="shared" si="117"/>
        <v>100</v>
      </c>
      <c r="EG50" s="837">
        <f t="shared" si="118"/>
        <v>100</v>
      </c>
      <c r="EH50" s="1053">
        <f t="shared" si="119"/>
        <v>100</v>
      </c>
      <c r="EI50" s="1053">
        <f t="shared" si="120"/>
        <v>100</v>
      </c>
      <c r="EJ50" s="1053">
        <f t="shared" si="121"/>
        <v>9</v>
      </c>
      <c r="EK50" s="1053">
        <f t="shared" si="122"/>
        <v>6.96122643760439</v>
      </c>
      <c r="EL50" s="1053">
        <f t="shared" si="123"/>
        <v>5.4699355762347892</v>
      </c>
      <c r="EM50" s="1053">
        <f t="shared" si="124"/>
        <v>3.3821283703173468</v>
      </c>
      <c r="EN50" s="1053">
        <f t="shared" si="125"/>
        <v>0.99606299212598437</v>
      </c>
      <c r="EO50" s="1053">
        <f t="shared" si="126"/>
        <v>-0.10749224528752087</v>
      </c>
      <c r="EP50" s="1067" t="str">
        <f t="shared" si="127"/>
        <v>ML2.5</v>
      </c>
      <c r="EQ50" s="835"/>
      <c r="ER50" s="837" t="str">
        <f t="shared" si="128"/>
        <v>ML1</v>
      </c>
      <c r="ES50" s="837" t="str">
        <f t="shared" si="138"/>
        <v>ML5.5</v>
      </c>
    </row>
    <row r="51" spans="1:149" ht="15.75" thickBot="1" x14ac:dyDescent="0.3">
      <c r="A51" s="377" t="s">
        <v>274</v>
      </c>
      <c r="B51" s="761" t="str">
        <f>VLOOKUP($A51,'TIS Site Config'!$A$3:$AQ$51,2,FALSE)</f>
        <v>D23</v>
      </c>
      <c r="C51" s="751" t="str">
        <f>IF(VLOOKUP($A51,'TIS Site Config'!$A$3:$AQ$51,3,FALSE)&lt;&gt;"",
              VLOOKUP($A51,'TIS Site Config'!$A$3:$AQ$51,3,FALSE),"")</f>
        <v>A-FY14</v>
      </c>
      <c r="D51" s="933" t="str">
        <f>VLOOKUP($A51,'TIS Site Config'!$A$3:$AQ$51,4,FALSE)</f>
        <v>HQ Tower</v>
      </c>
      <c r="E51" s="786">
        <f t="shared" ref="E51" si="181">COUNTIF(G51:N51,"&lt;&gt;"&amp;"")</f>
        <v>4</v>
      </c>
      <c r="F51" s="866"/>
      <c r="G51" s="373">
        <v>0.3</v>
      </c>
      <c r="H51" s="373">
        <v>3</v>
      </c>
      <c r="I51" s="373">
        <v>6</v>
      </c>
      <c r="J51" s="373">
        <v>8</v>
      </c>
      <c r="K51" s="373"/>
      <c r="L51" s="373"/>
      <c r="M51" s="373"/>
      <c r="N51" s="374"/>
      <c r="O51" s="617">
        <v>26</v>
      </c>
      <c r="P51" s="618" t="s">
        <v>139</v>
      </c>
      <c r="Q51" s="772">
        <f t="shared" ref="Q51" si="182">IF(ISNUMBER(O51),
         (O51-4-IF(P51="Guyed",2,0))/11,
          "ERROR")</f>
        <v>2</v>
      </c>
      <c r="R51" s="847">
        <v>1</v>
      </c>
      <c r="S51" s="861"/>
      <c r="T51" s="371" t="s">
        <v>203</v>
      </c>
      <c r="U51" s="371" t="s">
        <v>203</v>
      </c>
      <c r="V51" s="371"/>
      <c r="W51" s="371"/>
      <c r="X51" s="371"/>
      <c r="Y51" s="371"/>
      <c r="Z51" s="371"/>
      <c r="AA51" s="371"/>
      <c r="AB51" s="371"/>
      <c r="AC51" s="371"/>
      <c r="AD51" s="371"/>
      <c r="AE51" s="371"/>
      <c r="AF51" s="371"/>
      <c r="AG51" s="371"/>
      <c r="AH51" s="371"/>
      <c r="AI51" s="371"/>
      <c r="AJ51" s="371"/>
      <c r="AK51" s="608"/>
      <c r="AL51" s="375">
        <v>3</v>
      </c>
      <c r="AM51" s="775">
        <f t="shared" si="131"/>
        <v>8</v>
      </c>
      <c r="AN51" s="373"/>
      <c r="AO51" s="789">
        <f t="shared" ref="AO51" si="183">((IF(ISNUMBER(AN51),AN51,AM51))-1)/12</f>
        <v>0.58333333333333337</v>
      </c>
      <c r="AP51" s="844">
        <v>0.3</v>
      </c>
      <c r="AQ51" s="845">
        <v>3</v>
      </c>
      <c r="AR51" s="845">
        <v>6</v>
      </c>
      <c r="AS51" s="845">
        <v>8</v>
      </c>
      <c r="AT51" s="845"/>
      <c r="AU51" s="845"/>
      <c r="AV51" s="845"/>
      <c r="AW51" s="846"/>
      <c r="AX51" s="857">
        <v>0.3</v>
      </c>
      <c r="AY51" s="858">
        <v>3</v>
      </c>
      <c r="AZ51" s="858">
        <v>6</v>
      </c>
      <c r="BA51" s="858">
        <v>8</v>
      </c>
      <c r="BB51" s="858">
        <v>0</v>
      </c>
      <c r="BC51" s="858">
        <v>0</v>
      </c>
      <c r="BD51" s="858">
        <v>0</v>
      </c>
      <c r="BE51" s="859">
        <v>0</v>
      </c>
      <c r="BF51" s="794">
        <f t="shared" si="147"/>
        <v>3.6447148651873061E-2</v>
      </c>
      <c r="BG51" s="599">
        <f t="shared" si="148"/>
        <v>0.84174421379145781</v>
      </c>
      <c r="BH51" s="599">
        <f t="shared" si="149"/>
        <v>1.736518730613219</v>
      </c>
      <c r="BI51" s="599">
        <f t="shared" si="150"/>
        <v>2</v>
      </c>
      <c r="BJ51" s="599">
        <f t="shared" si="151"/>
        <v>0</v>
      </c>
      <c r="BK51" s="599">
        <f t="shared" si="152"/>
        <v>0</v>
      </c>
      <c r="BL51" s="599">
        <f t="shared" si="153"/>
        <v>0</v>
      </c>
      <c r="BM51" s="795">
        <f t="shared" si="154"/>
        <v>0</v>
      </c>
      <c r="BN51" s="802">
        <f t="shared" si="139"/>
        <v>2</v>
      </c>
      <c r="BO51" s="371">
        <f t="shared" ref="BO51:CE51" si="184">IF(VALUE(RIGHT(BO$3,2))&gt;MAX($BF51:$BM51)+1,"",SUMPRODUCT(($BF51:$BM51&gt;=VALUE((RIGHT(BO$3,2)-1)))*($BF51:$BM51&lt;VALUE((RIGHT(BO$3,2))))))</f>
        <v>1</v>
      </c>
      <c r="BP51" s="371">
        <f t="shared" si="184"/>
        <v>1</v>
      </c>
      <c r="BQ51" s="371" t="str">
        <f t="shared" si="184"/>
        <v/>
      </c>
      <c r="BR51" s="371" t="str">
        <f t="shared" si="184"/>
        <v/>
      </c>
      <c r="BS51" s="371" t="str">
        <f t="shared" si="184"/>
        <v/>
      </c>
      <c r="BT51" s="371" t="str">
        <f t="shared" si="184"/>
        <v/>
      </c>
      <c r="BU51" s="371" t="str">
        <f t="shared" si="184"/>
        <v/>
      </c>
      <c r="BV51" s="371" t="str">
        <f t="shared" si="184"/>
        <v/>
      </c>
      <c r="BW51" s="371" t="str">
        <f t="shared" si="184"/>
        <v/>
      </c>
      <c r="BX51" s="371" t="str">
        <f t="shared" si="184"/>
        <v/>
      </c>
      <c r="BY51" s="371" t="str">
        <f t="shared" si="184"/>
        <v/>
      </c>
      <c r="BZ51" s="371" t="str">
        <f t="shared" si="184"/>
        <v/>
      </c>
      <c r="CA51" s="371" t="str">
        <f t="shared" si="184"/>
        <v/>
      </c>
      <c r="CB51" s="371" t="str">
        <f t="shared" si="184"/>
        <v/>
      </c>
      <c r="CC51" s="371" t="str">
        <f t="shared" si="184"/>
        <v/>
      </c>
      <c r="CD51" s="371" t="str">
        <f t="shared" si="184"/>
        <v/>
      </c>
      <c r="CE51" s="371" t="str">
        <f t="shared" si="184"/>
        <v/>
      </c>
      <c r="CF51" s="799" t="str">
        <f t="shared" si="142"/>
        <v/>
      </c>
      <c r="CG51" s="807" t="str">
        <f t="shared" si="156"/>
        <v>B, ML above</v>
      </c>
      <c r="CH51" s="595" t="str">
        <f>IF(BP51="","",IF(BQ51="",$DX$3,IF(BO51&gt;1,$DW$3,IF(BP51&gt;0,$DW$3,$DV$3))))</f>
        <v>TOP</v>
      </c>
      <c r="CI51" s="595" t="str">
        <f t="shared" ref="CI51:CW51" si="185">IF(BQ51="","",IF(BR51="",$DX$3,IF(BP51&gt;1,$DW$3,IF(BQ51&gt;0,$DW$3,$DV$3))))</f>
        <v/>
      </c>
      <c r="CJ51" s="595" t="str">
        <f t="shared" si="185"/>
        <v/>
      </c>
      <c r="CK51" s="595" t="str">
        <f t="shared" si="185"/>
        <v/>
      </c>
      <c r="CL51" s="595" t="str">
        <f t="shared" si="185"/>
        <v/>
      </c>
      <c r="CM51" s="595" t="str">
        <f t="shared" si="185"/>
        <v/>
      </c>
      <c r="CN51" s="595" t="str">
        <f t="shared" si="185"/>
        <v/>
      </c>
      <c r="CO51" s="595" t="str">
        <f t="shared" si="185"/>
        <v/>
      </c>
      <c r="CP51" s="595" t="str">
        <f t="shared" si="185"/>
        <v/>
      </c>
      <c r="CQ51" s="595" t="str">
        <f t="shared" si="185"/>
        <v/>
      </c>
      <c r="CR51" s="595" t="str">
        <f t="shared" si="185"/>
        <v/>
      </c>
      <c r="CS51" s="595" t="str">
        <f t="shared" si="185"/>
        <v/>
      </c>
      <c r="CT51" s="595" t="str">
        <f t="shared" si="185"/>
        <v/>
      </c>
      <c r="CU51" s="595" t="str">
        <f t="shared" si="185"/>
        <v/>
      </c>
      <c r="CV51" s="595" t="str">
        <f t="shared" si="185"/>
        <v/>
      </c>
      <c r="CW51" s="595" t="str">
        <f t="shared" si="185"/>
        <v/>
      </c>
      <c r="CX51" s="808" t="str">
        <f t="shared" si="173"/>
        <v/>
      </c>
      <c r="CY51" s="816">
        <f>IF(VLOOKUP(A51,'TIS Site Config'!$A$4:$AQ$51,6,FALSE)="Non-heated",COUNTIF($CG51:$CX51,$DT$3),0)</f>
        <v>0</v>
      </c>
      <c r="CZ51" s="596">
        <f>IF(OR(VLOOKUP(A51,'TIS Site Config'!$A$4:$AQ$51,6,FALSE)="Heated",VLOOKUP(A51,'TIS Site Config'!$A$4:$AQ$51,6,FALSE)="Extreme Heated"),COUNTIF($CG51:$CX51,$DT$3),0)</f>
        <v>0</v>
      </c>
      <c r="DA51" s="596">
        <f>IF(VLOOKUP(A51,'TIS Site Config'!$A$4:$AQ$51,6,FALSE)="Non-heated",COUNTIF($CG51:$CX51,$DU$3),0)</f>
        <v>0</v>
      </c>
      <c r="DB51" s="596">
        <f>IF(OR(VLOOKUP(A51,'TIS Site Config'!$A$4:$AQ$51,6,FALSE)="Heated",VLOOKUP(A51,'TIS Site Config'!$A$4:$AQ$51,6,FALSE)="Extreme heated"),COUNTIF($CG51:$CX51,$DU$3),0)</f>
        <v>1</v>
      </c>
      <c r="DC51" s="596">
        <f>IF(VLOOKUP(A51,'TIS Site Config'!$A$4:$AQ$51,6,FALSE)="Non-heated",COUNTIF($CG51:$CX51,$DW$3),0)</f>
        <v>0</v>
      </c>
      <c r="DD51" s="596">
        <f>IF(OR(VLOOKUP(A51,'TIS Site Config'!$A$4:$AQ$51,6,FALSE)="Heated",VLOOKUP(A51,'TIS Site Config'!$A$4:$AQ$51,6,FALSE)="Extreme heated"),COUNTIF($CG51:$CX51,$DW$3),0)</f>
        <v>0</v>
      </c>
      <c r="DE51" s="596">
        <f t="shared" si="132"/>
        <v>0</v>
      </c>
      <c r="DF51" s="596">
        <f>IF(VLOOKUP(A51,'TIS Site Config'!$A$4:$AQ$51,6,FALSE)="Non-heated",COUNTIF($CG51:$CX51,$DX$3),0)</f>
        <v>0</v>
      </c>
      <c r="DG51" s="596">
        <f>IF(OR(VLOOKUP(A51,'TIS Site Config'!$A$4:$AQ$51,6,FALSE)="Heated",VLOOKUP(A51,'TIS Site Config'!$A$4:$AQ$51,6,FALSE)="Extreme heated"),COUNTIF($CG51:$CX51,$DX$3),0)</f>
        <v>1</v>
      </c>
      <c r="DH51" s="817"/>
      <c r="DI51" s="791">
        <f t="shared" si="133"/>
        <v>0</v>
      </c>
      <c r="DJ51" s="365">
        <f t="shared" si="134"/>
        <v>0</v>
      </c>
      <c r="DK51" s="365">
        <f t="shared" si="135"/>
        <v>3</v>
      </c>
      <c r="DL51" s="376">
        <v>1</v>
      </c>
      <c r="DM51" s="609">
        <f t="shared" ref="DM51" si="186">SUM(DI51:DL51)</f>
        <v>4</v>
      </c>
      <c r="DN51" s="362">
        <f t="shared" si="136"/>
        <v>0</v>
      </c>
      <c r="DR51" s="363">
        <f>SUM(DR4:DR50)</f>
        <v>269</v>
      </c>
      <c r="DS51" s="363">
        <f>SUM(DS4:DS50)</f>
        <v>33</v>
      </c>
      <c r="DT51" s="363">
        <f>SUM(DT4:DT50)</f>
        <v>7</v>
      </c>
      <c r="DZ51" s="794">
        <f t="shared" si="137"/>
        <v>3.6447148651873061E-2</v>
      </c>
      <c r="EA51" s="599">
        <f t="shared" si="112"/>
        <v>0.84174421379145781</v>
      </c>
      <c r="EB51" s="599">
        <f t="shared" si="113"/>
        <v>1.736518730613219</v>
      </c>
      <c r="EC51" s="599">
        <f t="shared" si="114"/>
        <v>2</v>
      </c>
      <c r="ED51" s="599">
        <f t="shared" si="115"/>
        <v>100</v>
      </c>
      <c r="EE51" s="599">
        <f t="shared" si="116"/>
        <v>100</v>
      </c>
      <c r="EF51" s="599">
        <f t="shared" si="117"/>
        <v>100</v>
      </c>
      <c r="EG51" s="795">
        <f t="shared" si="118"/>
        <v>100</v>
      </c>
      <c r="EH51" s="1054">
        <f t="shared" si="119"/>
        <v>100</v>
      </c>
      <c r="EI51" s="1054">
        <f t="shared" si="120"/>
        <v>100</v>
      </c>
      <c r="EJ51" s="1054">
        <f t="shared" si="121"/>
        <v>100</v>
      </c>
      <c r="EK51" s="1054">
        <f t="shared" si="122"/>
        <v>100</v>
      </c>
      <c r="EL51" s="1054">
        <f t="shared" si="123"/>
        <v>2</v>
      </c>
      <c r="EM51" s="1054">
        <f t="shared" si="124"/>
        <v>1.736518730613219</v>
      </c>
      <c r="EN51" s="1054">
        <f t="shared" si="125"/>
        <v>0.84174421379145781</v>
      </c>
      <c r="EO51" s="1054">
        <f t="shared" si="126"/>
        <v>3.6447148651873061E-2</v>
      </c>
      <c r="EP51" s="1070" t="str">
        <f t="shared" si="127"/>
        <v>ML2.5</v>
      </c>
      <c r="EQ51" s="794"/>
      <c r="ER51" s="795" t="e">
        <f t="shared" si="128"/>
        <v>#N/A</v>
      </c>
      <c r="ES51" s="795" t="str">
        <f t="shared" si="138"/>
        <v>ML3.5</v>
      </c>
    </row>
    <row r="52" spans="1:149" x14ac:dyDescent="0.25">
      <c r="BN52" s="362" t="s">
        <v>854</v>
      </c>
      <c r="BO52" s="362" t="s">
        <v>855</v>
      </c>
      <c r="BP52" s="362" t="s">
        <v>856</v>
      </c>
      <c r="BQ52" s="362" t="s">
        <v>857</v>
      </c>
    </row>
    <row r="53" spans="1:149" x14ac:dyDescent="0.25">
      <c r="L53" s="362">
        <f>L50/0.3048</f>
        <v>69.553805774278203</v>
      </c>
      <c r="BF53" s="601">
        <f t="shared" ref="BF53:BM54" si="187">IF(BF4&lt;&gt;"",IF(BF4&lt;0,1-MOD(BF4,1),MOD(BF4,1))*11,"")</f>
        <v>1.0574146981627299</v>
      </c>
      <c r="BG53" s="601">
        <f t="shared" si="187"/>
        <v>0.40977690288713964</v>
      </c>
      <c r="BH53" s="601">
        <f t="shared" si="187"/>
        <v>3.4990157480314927</v>
      </c>
      <c r="BI53" s="601">
        <f t="shared" si="187"/>
        <v>4.4648950131233542</v>
      </c>
      <c r="BJ53" s="601">
        <f t="shared" si="187"/>
        <v>2.8061023622047223</v>
      </c>
      <c r="BK53" s="601">
        <f t="shared" si="187"/>
        <v>0</v>
      </c>
      <c r="BL53" s="601">
        <f t="shared" si="187"/>
        <v>0</v>
      </c>
      <c r="BM53" s="601">
        <f t="shared" si="187"/>
        <v>0</v>
      </c>
      <c r="BN53" s="362">
        <f>COUNTIF(BF53:BM53,"&gt;8")</f>
        <v>0</v>
      </c>
      <c r="BO53" s="362">
        <f>COUNTIF(BF53:BM53,"&gt;10")</f>
        <v>0</v>
      </c>
      <c r="BP53" s="362">
        <f>BN53-BO53</f>
        <v>0</v>
      </c>
      <c r="BQ53" s="362">
        <f>COUNTIF(BF53:BM53,"&gt;=0")</f>
        <v>8</v>
      </c>
    </row>
    <row r="54" spans="1:149" x14ac:dyDescent="0.25">
      <c r="L54" s="362" t="e">
        <f>#REF!/0.3048</f>
        <v>#REF!</v>
      </c>
      <c r="BF54" s="601">
        <f t="shared" si="187"/>
        <v>1.9635826771653542</v>
      </c>
      <c r="BG54" s="601">
        <f t="shared" si="187"/>
        <v>10.831692913385828</v>
      </c>
      <c r="BH54" s="601">
        <f t="shared" si="187"/>
        <v>6.2017716535433127</v>
      </c>
      <c r="BI54" s="601">
        <f t="shared" si="187"/>
        <v>8.3251312335958083</v>
      </c>
      <c r="BJ54" s="601">
        <f t="shared" si="187"/>
        <v>6.0101706036745393</v>
      </c>
      <c r="BK54" s="601">
        <f t="shared" si="187"/>
        <v>0</v>
      </c>
      <c r="BL54" s="601">
        <f t="shared" si="187"/>
        <v>0</v>
      </c>
      <c r="BM54" s="601">
        <f t="shared" si="187"/>
        <v>0</v>
      </c>
      <c r="BN54" s="362">
        <f t="shared" ref="BN54:BN115" si="188">COUNTIF(BF54:BM54,"&gt;8")</f>
        <v>2</v>
      </c>
      <c r="BO54" s="362">
        <f t="shared" ref="BO54:BO115" si="189">COUNTIF(BF54:BM54,"&gt;10")</f>
        <v>1</v>
      </c>
      <c r="BP54" s="362">
        <f t="shared" ref="BP54:BP115" si="190">BN54-BO54</f>
        <v>1</v>
      </c>
      <c r="BQ54" s="362">
        <f t="shared" ref="BQ54:BQ115" si="191">COUNTIF(BF54:BM54,"&gt;=0")</f>
        <v>8</v>
      </c>
    </row>
    <row r="55" spans="1:149" x14ac:dyDescent="0.25">
      <c r="G55" s="360"/>
      <c r="H55" s="361"/>
      <c r="I55" s="360"/>
      <c r="J55" s="362" t="e">
        <f>#REF!/0.3048</f>
        <v>#REF!</v>
      </c>
      <c r="K55" s="360"/>
      <c r="BF55" s="601" t="e">
        <f>IF(#REF!&lt;&gt;"",IF(#REF!&lt;0,1-MOD(#REF!,1),MOD(#REF!,1))*11,"")</f>
        <v>#REF!</v>
      </c>
      <c r="BG55" s="601" t="e">
        <f>IF(#REF!&lt;&gt;"",IF(#REF!&lt;0,1-MOD(#REF!,1),MOD(#REF!,1))*11,"")</f>
        <v>#REF!</v>
      </c>
      <c r="BH55" s="601" t="e">
        <f>IF(#REF!&lt;&gt;"",IF(#REF!&lt;0,1-MOD(#REF!,1),MOD(#REF!,1))*11,"")</f>
        <v>#REF!</v>
      </c>
      <c r="BI55" s="601" t="e">
        <f>IF(#REF!&lt;&gt;"",IF(#REF!&lt;0,1-MOD(#REF!,1),MOD(#REF!,1))*11,"")</f>
        <v>#REF!</v>
      </c>
      <c r="BJ55" s="601" t="e">
        <f>IF(#REF!&lt;&gt;"",IF(#REF!&lt;0,1-MOD(#REF!,1),MOD(#REF!,1))*11,"")</f>
        <v>#REF!</v>
      </c>
      <c r="BK55" s="601" t="e">
        <f>IF(#REF!&lt;&gt;"",IF(#REF!&lt;0,1-MOD(#REF!,1),MOD(#REF!,1))*11,"")</f>
        <v>#REF!</v>
      </c>
      <c r="BL55" s="601" t="e">
        <f>IF(#REF!&lt;&gt;"",IF(#REF!&lt;0,1-MOD(#REF!,1),MOD(#REF!,1))*11,"")</f>
        <v>#REF!</v>
      </c>
      <c r="BM55" s="601" t="e">
        <f>IF(#REF!&lt;&gt;"",IF(#REF!&lt;0,1-MOD(#REF!,1),MOD(#REF!,1))*11,"")</f>
        <v>#REF!</v>
      </c>
      <c r="BN55" s="362">
        <f t="shared" si="188"/>
        <v>0</v>
      </c>
      <c r="BO55" s="362">
        <f t="shared" si="189"/>
        <v>0</v>
      </c>
      <c r="BP55" s="362">
        <f t="shared" si="190"/>
        <v>0</v>
      </c>
      <c r="BQ55" s="362">
        <f t="shared" si="191"/>
        <v>0</v>
      </c>
    </row>
    <row r="56" spans="1:149" x14ac:dyDescent="0.25">
      <c r="G56" s="362">
        <f>238/47</f>
        <v>5.0638297872340425</v>
      </c>
      <c r="BF56" s="601">
        <f t="shared" ref="BF56:BM56" si="192">IF(BF6&lt;&gt;"",IF(BF6&lt;0,1-MOD(BF6,1),MOD(BF6,1))*11,"")</f>
        <v>1.4167486876640412</v>
      </c>
      <c r="BG56" s="601">
        <f t="shared" si="192"/>
        <v>9.8929625984251963</v>
      </c>
      <c r="BH56" s="601">
        <f t="shared" si="192"/>
        <v>9.7013615485564308</v>
      </c>
      <c r="BI56" s="601">
        <f t="shared" si="192"/>
        <v>5.0714402887139105</v>
      </c>
      <c r="BJ56" s="601">
        <f t="shared" si="192"/>
        <v>1.5989993438320251</v>
      </c>
      <c r="BK56" s="601">
        <f t="shared" si="192"/>
        <v>0</v>
      </c>
      <c r="BL56" s="601">
        <f t="shared" si="192"/>
        <v>0</v>
      </c>
      <c r="BM56" s="601">
        <f t="shared" si="192"/>
        <v>0</v>
      </c>
      <c r="BN56" s="362">
        <f t="shared" si="188"/>
        <v>2</v>
      </c>
      <c r="BO56" s="362">
        <f t="shared" si="189"/>
        <v>0</v>
      </c>
      <c r="BP56" s="362">
        <f t="shared" si="190"/>
        <v>2</v>
      </c>
      <c r="BQ56" s="362">
        <f t="shared" si="191"/>
        <v>8</v>
      </c>
    </row>
    <row r="57" spans="1:149" x14ac:dyDescent="0.25">
      <c r="BF57" s="601" t="e">
        <f>IF(#REF!&lt;&gt;"",IF(#REF!&lt;0,1-MOD(#REF!,1),MOD(#REF!,1))*11,"")</f>
        <v>#REF!</v>
      </c>
      <c r="BG57" s="601" t="e">
        <f>IF(#REF!&lt;&gt;"",IF(#REF!&lt;0,1-MOD(#REF!,1),MOD(#REF!,1))*11,"")</f>
        <v>#REF!</v>
      </c>
      <c r="BH57" s="601" t="e">
        <f>IF(#REF!&lt;&gt;"",IF(#REF!&lt;0,1-MOD(#REF!,1),MOD(#REF!,1))*11,"")</f>
        <v>#REF!</v>
      </c>
      <c r="BI57" s="601" t="e">
        <f>IF(#REF!&lt;&gt;"",IF(#REF!&lt;0,1-MOD(#REF!,1),MOD(#REF!,1))*11,"")</f>
        <v>#REF!</v>
      </c>
      <c r="BJ57" s="601" t="e">
        <f>IF(#REF!&lt;&gt;"",IF(#REF!&lt;0,1-MOD(#REF!,1),MOD(#REF!,1))*11,"")</f>
        <v>#REF!</v>
      </c>
      <c r="BK57" s="601" t="e">
        <f>IF(#REF!&lt;&gt;"",IF(#REF!&lt;0,1-MOD(#REF!,1),MOD(#REF!,1))*11,"")</f>
        <v>#REF!</v>
      </c>
      <c r="BL57" s="601" t="e">
        <f>IF(#REF!&lt;&gt;"",IF(#REF!&lt;0,1-MOD(#REF!,1),MOD(#REF!,1))*11,"")</f>
        <v>#REF!</v>
      </c>
      <c r="BM57" s="601" t="e">
        <f>IF(#REF!&lt;&gt;"",IF(#REF!&lt;0,1-MOD(#REF!,1),MOD(#REF!,1))*11,"")</f>
        <v>#REF!</v>
      </c>
      <c r="BN57" s="362">
        <f t="shared" si="188"/>
        <v>0</v>
      </c>
      <c r="BO57" s="362">
        <f t="shared" si="189"/>
        <v>0</v>
      </c>
      <c r="BP57" s="362">
        <f t="shared" si="190"/>
        <v>0</v>
      </c>
      <c r="BQ57" s="362">
        <f t="shared" si="191"/>
        <v>0</v>
      </c>
    </row>
    <row r="58" spans="1:149" x14ac:dyDescent="0.25">
      <c r="BF58" s="601">
        <f t="shared" ref="BF58:BM63" si="193">IF(BF8&lt;&gt;"",IF(BF8&lt;0,1-MOD(BF8,1),MOD(BF8,1))*11,"")</f>
        <v>0.53133202099737498</v>
      </c>
      <c r="BG58" s="601">
        <f t="shared" si="193"/>
        <v>2.7495078740157481</v>
      </c>
      <c r="BH58" s="601">
        <f t="shared" si="193"/>
        <v>8.6550196850393704</v>
      </c>
      <c r="BI58" s="601">
        <f t="shared" si="193"/>
        <v>0</v>
      </c>
      <c r="BJ58" s="601">
        <f t="shared" si="193"/>
        <v>0</v>
      </c>
      <c r="BK58" s="601">
        <f t="shared" si="193"/>
        <v>0</v>
      </c>
      <c r="BL58" s="601">
        <f t="shared" si="193"/>
        <v>0</v>
      </c>
      <c r="BM58" s="601">
        <f t="shared" si="193"/>
        <v>0</v>
      </c>
      <c r="BN58" s="362">
        <f t="shared" si="188"/>
        <v>1</v>
      </c>
      <c r="BO58" s="362">
        <f t="shared" si="189"/>
        <v>0</v>
      </c>
      <c r="BP58" s="362">
        <f t="shared" si="190"/>
        <v>1</v>
      </c>
      <c r="BQ58" s="362">
        <f t="shared" si="191"/>
        <v>8</v>
      </c>
    </row>
    <row r="59" spans="1:149" x14ac:dyDescent="0.25">
      <c r="BF59" s="601">
        <f t="shared" si="193"/>
        <v>1.140748031496063</v>
      </c>
      <c r="BG59" s="601">
        <f t="shared" si="193"/>
        <v>5.4209317585301839</v>
      </c>
      <c r="BH59" s="601">
        <f t="shared" si="193"/>
        <v>5.4025590551181129</v>
      </c>
      <c r="BI59" s="601">
        <f t="shared" si="193"/>
        <v>10.806758530183727</v>
      </c>
      <c r="BJ59" s="601">
        <f t="shared" si="193"/>
        <v>2.8959973753280792</v>
      </c>
      <c r="BK59" s="601">
        <f t="shared" si="193"/>
        <v>0</v>
      </c>
      <c r="BL59" s="601">
        <f t="shared" si="193"/>
        <v>0</v>
      </c>
      <c r="BM59" s="601">
        <f t="shared" si="193"/>
        <v>0</v>
      </c>
      <c r="BN59" s="362">
        <f t="shared" si="188"/>
        <v>1</v>
      </c>
      <c r="BO59" s="362">
        <f t="shared" si="189"/>
        <v>1</v>
      </c>
      <c r="BP59" s="362">
        <f t="shared" si="190"/>
        <v>0</v>
      </c>
      <c r="BQ59" s="362">
        <f t="shared" si="191"/>
        <v>8</v>
      </c>
    </row>
    <row r="60" spans="1:149" x14ac:dyDescent="0.25">
      <c r="AY60" s="362" t="s">
        <v>1073</v>
      </c>
      <c r="BF60" s="601">
        <f t="shared" si="193"/>
        <v>0.2032480314960633</v>
      </c>
      <c r="BG60" s="601">
        <f t="shared" si="193"/>
        <v>3.7337598425196852</v>
      </c>
      <c r="BH60" s="601">
        <f t="shared" si="193"/>
        <v>0.93585958005249448</v>
      </c>
      <c r="BI60" s="601">
        <f t="shared" si="193"/>
        <v>0</v>
      </c>
      <c r="BJ60" s="601">
        <f t="shared" si="193"/>
        <v>0</v>
      </c>
      <c r="BK60" s="601">
        <f t="shared" si="193"/>
        <v>0</v>
      </c>
      <c r="BL60" s="601">
        <f t="shared" si="193"/>
        <v>0</v>
      </c>
      <c r="BM60" s="601">
        <f t="shared" si="193"/>
        <v>0</v>
      </c>
      <c r="BN60" s="362">
        <f t="shared" si="188"/>
        <v>0</v>
      </c>
      <c r="BO60" s="362">
        <f t="shared" si="189"/>
        <v>0</v>
      </c>
      <c r="BP60" s="362">
        <f t="shared" si="190"/>
        <v>0</v>
      </c>
      <c r="BQ60" s="362">
        <f t="shared" si="191"/>
        <v>8</v>
      </c>
    </row>
    <row r="61" spans="1:149" x14ac:dyDescent="0.25">
      <c r="BF61" s="601">
        <f t="shared" si="193"/>
        <v>1.7188320209973758</v>
      </c>
      <c r="BG61" s="601">
        <f t="shared" si="193"/>
        <v>9.5908792650918642</v>
      </c>
      <c r="BH61" s="601">
        <f t="shared" si="193"/>
        <v>6.118438320209977</v>
      </c>
      <c r="BI61" s="601">
        <f t="shared" si="193"/>
        <v>7.0843175853018288</v>
      </c>
      <c r="BJ61" s="601">
        <f t="shared" si="193"/>
        <v>4.7693569553805784</v>
      </c>
      <c r="BK61" s="601">
        <f t="shared" si="193"/>
        <v>0</v>
      </c>
      <c r="BL61" s="601">
        <f t="shared" si="193"/>
        <v>0</v>
      </c>
      <c r="BM61" s="601">
        <f t="shared" si="193"/>
        <v>0</v>
      </c>
      <c r="BN61" s="362">
        <f t="shared" si="188"/>
        <v>1</v>
      </c>
      <c r="BO61" s="362">
        <f t="shared" si="189"/>
        <v>0</v>
      </c>
      <c r="BP61" s="362">
        <f t="shared" si="190"/>
        <v>1</v>
      </c>
      <c r="BQ61" s="362">
        <f t="shared" si="191"/>
        <v>8</v>
      </c>
    </row>
    <row r="62" spans="1:149" x14ac:dyDescent="0.25">
      <c r="BF62" s="601">
        <f t="shared" si="193"/>
        <v>1.0574146981627299</v>
      </c>
      <c r="BG62" s="601">
        <f t="shared" si="193"/>
        <v>8.1692913385827959E-2</v>
      </c>
      <c r="BH62" s="601">
        <f t="shared" si="193"/>
        <v>2.205052493438322</v>
      </c>
      <c r="BI62" s="601">
        <f t="shared" si="193"/>
        <v>4.3284120734908189</v>
      </c>
      <c r="BJ62" s="601">
        <f t="shared" si="193"/>
        <v>0</v>
      </c>
      <c r="BK62" s="601">
        <f t="shared" si="193"/>
        <v>0</v>
      </c>
      <c r="BL62" s="601">
        <f t="shared" si="193"/>
        <v>0</v>
      </c>
      <c r="BM62" s="601">
        <f t="shared" si="193"/>
        <v>0</v>
      </c>
      <c r="BN62" s="362">
        <f t="shared" si="188"/>
        <v>0</v>
      </c>
      <c r="BO62" s="362">
        <f t="shared" si="189"/>
        <v>0</v>
      </c>
      <c r="BP62" s="362">
        <f t="shared" si="190"/>
        <v>0</v>
      </c>
      <c r="BQ62" s="362">
        <f t="shared" si="191"/>
        <v>8</v>
      </c>
    </row>
    <row r="63" spans="1:149" x14ac:dyDescent="0.25">
      <c r="BF63" s="601">
        <f t="shared" si="193"/>
        <v>0.59120734908136485</v>
      </c>
      <c r="BG63" s="601">
        <f t="shared" si="193"/>
        <v>5.4783464566929139</v>
      </c>
      <c r="BH63" s="601">
        <f t="shared" si="193"/>
        <v>1.0400262467191592</v>
      </c>
      <c r="BI63" s="601">
        <f t="shared" si="193"/>
        <v>0</v>
      </c>
      <c r="BJ63" s="601">
        <f t="shared" si="193"/>
        <v>0</v>
      </c>
      <c r="BK63" s="601">
        <f t="shared" si="193"/>
        <v>0</v>
      </c>
      <c r="BL63" s="601">
        <f t="shared" si="193"/>
        <v>0</v>
      </c>
      <c r="BM63" s="601">
        <f t="shared" si="193"/>
        <v>0</v>
      </c>
      <c r="BN63" s="362">
        <f t="shared" si="188"/>
        <v>0</v>
      </c>
      <c r="BO63" s="362">
        <f t="shared" si="189"/>
        <v>0</v>
      </c>
      <c r="BP63" s="362">
        <f t="shared" si="190"/>
        <v>0</v>
      </c>
      <c r="BQ63" s="362">
        <f t="shared" si="191"/>
        <v>8</v>
      </c>
    </row>
    <row r="64" spans="1:149" x14ac:dyDescent="0.25">
      <c r="BF64" s="601" t="e">
        <f>IF(#REF!&lt;&gt;"",IF(#REF!&lt;0,1-MOD(#REF!,1),MOD(#REF!,1))*11,"")</f>
        <v>#REF!</v>
      </c>
      <c r="BG64" s="601" t="e">
        <f>IF(#REF!&lt;&gt;"",IF(#REF!&lt;0,1-MOD(#REF!,1),MOD(#REF!,1))*11,"")</f>
        <v>#REF!</v>
      </c>
      <c r="BH64" s="601" t="e">
        <f>IF(#REF!&lt;&gt;"",IF(#REF!&lt;0,1-MOD(#REF!,1),MOD(#REF!,1))*11,"")</f>
        <v>#REF!</v>
      </c>
      <c r="BI64" s="601" t="e">
        <f>IF(#REF!&lt;&gt;"",IF(#REF!&lt;0,1-MOD(#REF!,1),MOD(#REF!,1))*11,"")</f>
        <v>#REF!</v>
      </c>
      <c r="BJ64" s="601" t="e">
        <f>IF(#REF!&lt;&gt;"",IF(#REF!&lt;0,1-MOD(#REF!,1),MOD(#REF!,1))*11,"")</f>
        <v>#REF!</v>
      </c>
      <c r="BK64" s="601" t="e">
        <f>IF(#REF!&lt;&gt;"",IF(#REF!&lt;0,1-MOD(#REF!,1),MOD(#REF!,1))*11,"")</f>
        <v>#REF!</v>
      </c>
      <c r="BL64" s="601" t="e">
        <f>IF(#REF!&lt;&gt;"",IF(#REF!&lt;0,1-MOD(#REF!,1),MOD(#REF!,1))*11,"")</f>
        <v>#REF!</v>
      </c>
      <c r="BM64" s="601" t="e">
        <f>IF(#REF!&lt;&gt;"",IF(#REF!&lt;0,1-MOD(#REF!,1),MOD(#REF!,1))*11,"")</f>
        <v>#REF!</v>
      </c>
      <c r="BN64" s="362">
        <f t="shared" si="188"/>
        <v>0</v>
      </c>
      <c r="BO64" s="362">
        <f t="shared" si="189"/>
        <v>0</v>
      </c>
      <c r="BP64" s="362">
        <f t="shared" si="190"/>
        <v>0</v>
      </c>
      <c r="BQ64" s="362">
        <f t="shared" si="191"/>
        <v>0</v>
      </c>
    </row>
    <row r="65" spans="2:69" x14ac:dyDescent="0.25">
      <c r="BF65" s="601">
        <f t="shared" ref="BF65:BM66" si="194">IF(BF14&lt;&gt;"",IF(BF14&lt;0,1-MOD(BF14,1),MOD(BF14,1))*11,"")</f>
        <v>1.2865813648293969</v>
      </c>
      <c r="BG65" s="601">
        <f t="shared" si="194"/>
        <v>1.9758858267716537</v>
      </c>
      <c r="BH65" s="601">
        <f t="shared" si="194"/>
        <v>6.2226049868766369</v>
      </c>
      <c r="BI65" s="601">
        <f t="shared" si="194"/>
        <v>8.5008202099737549</v>
      </c>
      <c r="BJ65" s="601">
        <f t="shared" si="194"/>
        <v>8.3275918635170711</v>
      </c>
      <c r="BK65" s="601">
        <f t="shared" si="194"/>
        <v>0</v>
      </c>
      <c r="BL65" s="601">
        <f t="shared" si="194"/>
        <v>0</v>
      </c>
      <c r="BM65" s="601">
        <f t="shared" si="194"/>
        <v>0</v>
      </c>
      <c r="BN65" s="362">
        <f t="shared" si="188"/>
        <v>2</v>
      </c>
      <c r="BO65" s="362">
        <f t="shared" si="189"/>
        <v>0</v>
      </c>
      <c r="BP65" s="362">
        <f t="shared" si="190"/>
        <v>2</v>
      </c>
      <c r="BQ65" s="362">
        <f t="shared" si="191"/>
        <v>8</v>
      </c>
    </row>
    <row r="66" spans="2:69" x14ac:dyDescent="0.25">
      <c r="BF66" s="601">
        <f t="shared" si="194"/>
        <v>0.40091863517060367</v>
      </c>
      <c r="BG66" s="601">
        <f t="shared" si="194"/>
        <v>8.5045931758530173</v>
      </c>
      <c r="BH66" s="601">
        <f t="shared" si="194"/>
        <v>8.4954068241469827</v>
      </c>
      <c r="BI66" s="601">
        <f t="shared" si="194"/>
        <v>8.5190288713910789</v>
      </c>
      <c r="BJ66" s="601">
        <f t="shared" si="194"/>
        <v>3.3825459317585285</v>
      </c>
      <c r="BK66" s="601">
        <f t="shared" si="194"/>
        <v>0</v>
      </c>
      <c r="BL66" s="601">
        <f t="shared" si="194"/>
        <v>0</v>
      </c>
      <c r="BM66" s="601">
        <f t="shared" si="194"/>
        <v>0</v>
      </c>
      <c r="BN66" s="362">
        <f t="shared" si="188"/>
        <v>3</v>
      </c>
      <c r="BO66" s="362">
        <f t="shared" si="189"/>
        <v>0</v>
      </c>
      <c r="BP66" s="362">
        <f t="shared" si="190"/>
        <v>3</v>
      </c>
      <c r="BQ66" s="362">
        <f t="shared" si="191"/>
        <v>8</v>
      </c>
    </row>
    <row r="67" spans="2:69" x14ac:dyDescent="0.25">
      <c r="BF67" s="601" t="e">
        <f>IF(#REF!&lt;&gt;"",IF(#REF!&lt;0,1-MOD(#REF!,1),MOD(#REF!,1))*11,"")</f>
        <v>#REF!</v>
      </c>
      <c r="BG67" s="601" t="e">
        <f>IF(#REF!&lt;&gt;"",IF(#REF!&lt;0,1-MOD(#REF!,1),MOD(#REF!,1))*11,"")</f>
        <v>#REF!</v>
      </c>
      <c r="BH67" s="601" t="e">
        <f>IF(#REF!&lt;&gt;"",IF(#REF!&lt;0,1-MOD(#REF!,1),MOD(#REF!,1))*11,"")</f>
        <v>#REF!</v>
      </c>
      <c r="BI67" s="601" t="e">
        <f>IF(#REF!&lt;&gt;"",IF(#REF!&lt;0,1-MOD(#REF!,1),MOD(#REF!,1))*11,"")</f>
        <v>#REF!</v>
      </c>
      <c r="BJ67" s="601" t="e">
        <f>IF(#REF!&lt;&gt;"",IF(#REF!&lt;0,1-MOD(#REF!,1),MOD(#REF!,1))*11,"")</f>
        <v>#REF!</v>
      </c>
      <c r="BK67" s="601" t="e">
        <f>IF(#REF!&lt;&gt;"",IF(#REF!&lt;0,1-MOD(#REF!,1),MOD(#REF!,1))*11,"")</f>
        <v>#REF!</v>
      </c>
      <c r="BL67" s="601" t="e">
        <f>IF(#REF!&lt;&gt;"",IF(#REF!&lt;0,1-MOD(#REF!,1),MOD(#REF!,1))*11,"")</f>
        <v>#REF!</v>
      </c>
      <c r="BM67" s="601" t="e">
        <f>IF(#REF!&lt;&gt;"",IF(#REF!&lt;0,1-MOD(#REF!,1),MOD(#REF!,1))*11,"")</f>
        <v>#REF!</v>
      </c>
      <c r="BN67" s="362">
        <f t="shared" si="188"/>
        <v>0</v>
      </c>
      <c r="BO67" s="362">
        <f t="shared" si="189"/>
        <v>0</v>
      </c>
      <c r="BP67" s="362">
        <f t="shared" si="190"/>
        <v>0</v>
      </c>
      <c r="BQ67" s="362">
        <f t="shared" si="191"/>
        <v>0</v>
      </c>
    </row>
    <row r="68" spans="2:69" x14ac:dyDescent="0.25">
      <c r="BF68" s="601">
        <f t="shared" ref="BF68:BM77" si="195">IF(BF16&lt;&gt;"",IF(BF16&lt;0,1-MOD(BF16,1),MOD(BF16,1))*11,"")</f>
        <v>1.0574146981627299</v>
      </c>
      <c r="BG68" s="601">
        <f t="shared" si="195"/>
        <v>0.58300524934383224</v>
      </c>
      <c r="BH68" s="601">
        <f t="shared" si="195"/>
        <v>8.7667322834645649</v>
      </c>
      <c r="BI68" s="601">
        <f t="shared" si="195"/>
        <v>7.4176509186351618</v>
      </c>
      <c r="BJ68" s="601">
        <f t="shared" si="195"/>
        <v>9.5410104986876583</v>
      </c>
      <c r="BK68" s="601">
        <f t="shared" si="195"/>
        <v>0</v>
      </c>
      <c r="BL68" s="601">
        <f t="shared" si="195"/>
        <v>0</v>
      </c>
      <c r="BM68" s="601">
        <f t="shared" si="195"/>
        <v>0</v>
      </c>
      <c r="BN68" s="362">
        <f t="shared" si="188"/>
        <v>2</v>
      </c>
      <c r="BO68" s="362">
        <f t="shared" si="189"/>
        <v>0</v>
      </c>
      <c r="BP68" s="362">
        <f t="shared" si="190"/>
        <v>2</v>
      </c>
      <c r="BQ68" s="362">
        <f t="shared" si="191"/>
        <v>8</v>
      </c>
    </row>
    <row r="69" spans="2:69" x14ac:dyDescent="0.25">
      <c r="B69" s="362"/>
      <c r="C69" s="362"/>
      <c r="BF69" s="601">
        <f t="shared" si="195"/>
        <v>0.5521653543307089</v>
      </c>
      <c r="BG69" s="601">
        <f t="shared" si="195"/>
        <v>3.7129265091863521</v>
      </c>
      <c r="BH69" s="601">
        <f t="shared" si="195"/>
        <v>0.25885826771653475</v>
      </c>
      <c r="BI69" s="601">
        <f t="shared" si="195"/>
        <v>0</v>
      </c>
      <c r="BJ69" s="601">
        <f t="shared" si="195"/>
        <v>0</v>
      </c>
      <c r="BK69" s="601">
        <f t="shared" si="195"/>
        <v>0</v>
      </c>
      <c r="BL69" s="601">
        <f t="shared" si="195"/>
        <v>0</v>
      </c>
      <c r="BM69" s="601">
        <f t="shared" si="195"/>
        <v>0</v>
      </c>
      <c r="BN69" s="362">
        <f t="shared" si="188"/>
        <v>0</v>
      </c>
      <c r="BO69" s="362">
        <f t="shared" si="189"/>
        <v>0</v>
      </c>
      <c r="BP69" s="362">
        <f t="shared" si="190"/>
        <v>0</v>
      </c>
      <c r="BQ69" s="362">
        <f t="shared" si="191"/>
        <v>8</v>
      </c>
    </row>
    <row r="70" spans="2:69" x14ac:dyDescent="0.25">
      <c r="B70" s="362"/>
      <c r="C70" s="362"/>
      <c r="BF70" s="601">
        <f t="shared" si="195"/>
        <v>1.1824146981627297</v>
      </c>
      <c r="BG70" s="601">
        <f t="shared" si="195"/>
        <v>1.1141732283464569</v>
      </c>
      <c r="BH70" s="601">
        <f t="shared" si="195"/>
        <v>2.0800524934383184</v>
      </c>
      <c r="BI70" s="601">
        <f t="shared" si="195"/>
        <v>5.1692913385826813</v>
      </c>
      <c r="BJ70" s="601">
        <f t="shared" si="195"/>
        <v>10.57349081364829</v>
      </c>
      <c r="BK70" s="601">
        <f t="shared" si="195"/>
        <v>0</v>
      </c>
      <c r="BL70" s="601">
        <f t="shared" si="195"/>
        <v>0</v>
      </c>
      <c r="BM70" s="601">
        <f t="shared" si="195"/>
        <v>0</v>
      </c>
      <c r="BN70" s="362">
        <f t="shared" si="188"/>
        <v>1</v>
      </c>
      <c r="BO70" s="362">
        <f t="shared" si="189"/>
        <v>1</v>
      </c>
      <c r="BP70" s="362">
        <f t="shared" si="190"/>
        <v>0</v>
      </c>
      <c r="BQ70" s="362">
        <f t="shared" si="191"/>
        <v>8</v>
      </c>
    </row>
    <row r="71" spans="2:69" x14ac:dyDescent="0.25">
      <c r="B71" s="362"/>
      <c r="C71" s="362"/>
      <c r="BF71" s="601">
        <f t="shared" si="195"/>
        <v>0.5521653543307089</v>
      </c>
      <c r="BG71" s="601">
        <f t="shared" si="195"/>
        <v>3.7129265091863521</v>
      </c>
      <c r="BH71" s="601">
        <f t="shared" si="195"/>
        <v>0.25885826771653475</v>
      </c>
      <c r="BI71" s="601">
        <f t="shared" si="195"/>
        <v>0</v>
      </c>
      <c r="BJ71" s="601">
        <f t="shared" si="195"/>
        <v>0</v>
      </c>
      <c r="BK71" s="601">
        <f t="shared" si="195"/>
        <v>0</v>
      </c>
      <c r="BL71" s="601">
        <f t="shared" si="195"/>
        <v>0</v>
      </c>
      <c r="BM71" s="601">
        <f t="shared" si="195"/>
        <v>0</v>
      </c>
      <c r="BN71" s="362">
        <f t="shared" si="188"/>
        <v>0</v>
      </c>
      <c r="BO71" s="362">
        <f t="shared" si="189"/>
        <v>0</v>
      </c>
      <c r="BP71" s="362">
        <f t="shared" si="190"/>
        <v>0</v>
      </c>
      <c r="BQ71" s="362">
        <f t="shared" si="191"/>
        <v>8</v>
      </c>
    </row>
    <row r="72" spans="2:69" x14ac:dyDescent="0.25">
      <c r="B72" s="362"/>
      <c r="C72" s="362"/>
      <c r="BF72" s="601">
        <f t="shared" si="195"/>
        <v>1.3074146981627295</v>
      </c>
      <c r="BG72" s="601">
        <f t="shared" si="195"/>
        <v>9.6742125984251963</v>
      </c>
      <c r="BH72" s="601">
        <f t="shared" si="195"/>
        <v>6.2017716535433127</v>
      </c>
      <c r="BI72" s="601">
        <f t="shared" si="195"/>
        <v>3.8868110236220428</v>
      </c>
      <c r="BJ72" s="601">
        <f t="shared" si="195"/>
        <v>8.1335301837270357</v>
      </c>
      <c r="BK72" s="601">
        <f t="shared" si="195"/>
        <v>0</v>
      </c>
      <c r="BL72" s="601">
        <f t="shared" si="195"/>
        <v>0</v>
      </c>
      <c r="BM72" s="601">
        <f t="shared" si="195"/>
        <v>0</v>
      </c>
      <c r="BN72" s="362">
        <f t="shared" si="188"/>
        <v>2</v>
      </c>
      <c r="BO72" s="362">
        <f t="shared" si="189"/>
        <v>0</v>
      </c>
      <c r="BP72" s="362">
        <f t="shared" si="190"/>
        <v>2</v>
      </c>
      <c r="BQ72" s="362">
        <f t="shared" si="191"/>
        <v>8</v>
      </c>
    </row>
    <row r="73" spans="2:69" x14ac:dyDescent="0.25">
      <c r="B73" s="362"/>
      <c r="C73" s="362"/>
      <c r="BF73" s="601">
        <f t="shared" si="195"/>
        <v>1.0574146981627299</v>
      </c>
      <c r="BG73" s="601">
        <f t="shared" si="195"/>
        <v>8.1692913385827959E-2</v>
      </c>
      <c r="BH73" s="601">
        <f t="shared" si="195"/>
        <v>2.205052493438322</v>
      </c>
      <c r="BI73" s="601">
        <f t="shared" si="195"/>
        <v>10.890091863517062</v>
      </c>
      <c r="BJ73" s="601">
        <f t="shared" si="195"/>
        <v>8.5751312335958065</v>
      </c>
      <c r="BK73" s="601">
        <f t="shared" si="195"/>
        <v>0</v>
      </c>
      <c r="BL73" s="601">
        <f t="shared" si="195"/>
        <v>0</v>
      </c>
      <c r="BM73" s="601">
        <f t="shared" si="195"/>
        <v>0</v>
      </c>
      <c r="BN73" s="362">
        <f t="shared" si="188"/>
        <v>2</v>
      </c>
      <c r="BO73" s="362">
        <f t="shared" si="189"/>
        <v>1</v>
      </c>
      <c r="BP73" s="362">
        <f t="shared" si="190"/>
        <v>1</v>
      </c>
      <c r="BQ73" s="362">
        <f t="shared" si="191"/>
        <v>8</v>
      </c>
    </row>
    <row r="74" spans="2:69" x14ac:dyDescent="0.25">
      <c r="B74" s="362"/>
      <c r="C74" s="362"/>
      <c r="BF74" s="601">
        <f t="shared" si="195"/>
        <v>1.1824146981627297</v>
      </c>
      <c r="BG74" s="601">
        <f t="shared" si="195"/>
        <v>9.7992125984251963</v>
      </c>
      <c r="BH74" s="601">
        <f t="shared" si="195"/>
        <v>6.3267716535433065</v>
      </c>
      <c r="BI74" s="601">
        <f t="shared" si="195"/>
        <v>2.8543307086614114</v>
      </c>
      <c r="BJ74" s="601">
        <f t="shared" si="195"/>
        <v>10.381889763779526</v>
      </c>
      <c r="BK74" s="601">
        <f t="shared" si="195"/>
        <v>0</v>
      </c>
      <c r="BL74" s="601">
        <f t="shared" si="195"/>
        <v>0</v>
      </c>
      <c r="BM74" s="601">
        <f t="shared" si="195"/>
        <v>0</v>
      </c>
      <c r="BN74" s="362">
        <f t="shared" si="188"/>
        <v>2</v>
      </c>
      <c r="BO74" s="362">
        <f t="shared" si="189"/>
        <v>1</v>
      </c>
      <c r="BP74" s="362">
        <f t="shared" si="190"/>
        <v>1</v>
      </c>
      <c r="BQ74" s="362">
        <f t="shared" si="191"/>
        <v>8</v>
      </c>
    </row>
    <row r="75" spans="2:69" x14ac:dyDescent="0.25">
      <c r="B75" s="362"/>
      <c r="C75" s="362"/>
      <c r="BF75" s="601">
        <f t="shared" si="195"/>
        <v>1.0574146981627299</v>
      </c>
      <c r="BG75" s="601">
        <f t="shared" si="195"/>
        <v>4.5200131233595808</v>
      </c>
      <c r="BH75" s="601">
        <f t="shared" si="195"/>
        <v>4.1368110236220401</v>
      </c>
      <c r="BI75" s="601">
        <f t="shared" si="195"/>
        <v>1.8218503937007799</v>
      </c>
      <c r="BJ75" s="601">
        <f t="shared" si="195"/>
        <v>0</v>
      </c>
      <c r="BK75" s="601">
        <f t="shared" si="195"/>
        <v>0</v>
      </c>
      <c r="BL75" s="601">
        <f t="shared" si="195"/>
        <v>0</v>
      </c>
      <c r="BM75" s="601">
        <f t="shared" si="195"/>
        <v>0</v>
      </c>
      <c r="BN75" s="362">
        <f t="shared" si="188"/>
        <v>0</v>
      </c>
      <c r="BO75" s="362">
        <f t="shared" si="189"/>
        <v>0</v>
      </c>
      <c r="BP75" s="362">
        <f t="shared" si="190"/>
        <v>0</v>
      </c>
      <c r="BQ75" s="362">
        <f t="shared" si="191"/>
        <v>8</v>
      </c>
    </row>
    <row r="76" spans="2:69" x14ac:dyDescent="0.25">
      <c r="B76" s="362"/>
      <c r="C76" s="362"/>
      <c r="BF76" s="601">
        <f t="shared" si="195"/>
        <v>1.1928313648293967</v>
      </c>
      <c r="BG76" s="601">
        <f t="shared" si="195"/>
        <v>3.2271161417322842</v>
      </c>
      <c r="BH76" s="601">
        <f t="shared" si="195"/>
        <v>5.1588746719160143</v>
      </c>
      <c r="BI76" s="601">
        <f t="shared" si="195"/>
        <v>1.6864337270341192</v>
      </c>
      <c r="BJ76" s="601">
        <f t="shared" si="195"/>
        <v>7.0906332020997471</v>
      </c>
      <c r="BK76" s="601">
        <f t="shared" si="195"/>
        <v>0</v>
      </c>
      <c r="BL76" s="601">
        <f t="shared" si="195"/>
        <v>0</v>
      </c>
      <c r="BM76" s="601">
        <f t="shared" si="195"/>
        <v>0</v>
      </c>
      <c r="BN76" s="362">
        <f t="shared" si="188"/>
        <v>0</v>
      </c>
      <c r="BO76" s="362">
        <f t="shared" si="189"/>
        <v>0</v>
      </c>
      <c r="BP76" s="362">
        <f t="shared" si="190"/>
        <v>0</v>
      </c>
      <c r="BQ76" s="362">
        <f t="shared" si="191"/>
        <v>8</v>
      </c>
    </row>
    <row r="77" spans="2:69" x14ac:dyDescent="0.25">
      <c r="BF77" s="601">
        <f t="shared" si="195"/>
        <v>1.1824146981627297</v>
      </c>
      <c r="BG77" s="601">
        <f t="shared" si="195"/>
        <v>4.3950131233595808</v>
      </c>
      <c r="BH77" s="601">
        <f t="shared" si="195"/>
        <v>6.3267716535433065</v>
      </c>
      <c r="BI77" s="601">
        <f t="shared" si="195"/>
        <v>3.8202099737532826</v>
      </c>
      <c r="BJ77" s="601">
        <f t="shared" si="195"/>
        <v>1.5052493438320127</v>
      </c>
      <c r="BK77" s="601">
        <f t="shared" si="195"/>
        <v>0</v>
      </c>
      <c r="BL77" s="601">
        <f t="shared" si="195"/>
        <v>0</v>
      </c>
      <c r="BM77" s="601">
        <f t="shared" si="195"/>
        <v>0</v>
      </c>
      <c r="BN77" s="362">
        <f t="shared" si="188"/>
        <v>0</v>
      </c>
      <c r="BO77" s="362">
        <f t="shared" si="189"/>
        <v>0</v>
      </c>
      <c r="BP77" s="362">
        <f t="shared" si="190"/>
        <v>0</v>
      </c>
      <c r="BQ77" s="362">
        <f t="shared" si="191"/>
        <v>8</v>
      </c>
    </row>
    <row r="78" spans="2:69" x14ac:dyDescent="0.25">
      <c r="BF78" s="601">
        <f t="shared" ref="BF78:BM85" si="196">IF(BF26&lt;&gt;"",IF(BF26&lt;0,1-MOD(BF26,1),MOD(BF26,1))*11,"")</f>
        <v>0.51049868766404227</v>
      </c>
      <c r="BG78" s="601">
        <f t="shared" si="196"/>
        <v>2.1141732283464565</v>
      </c>
      <c r="BH78" s="601">
        <f t="shared" si="196"/>
        <v>10.316272965879266</v>
      </c>
      <c r="BI78" s="601">
        <f t="shared" si="196"/>
        <v>0</v>
      </c>
      <c r="BJ78" s="601">
        <f t="shared" si="196"/>
        <v>0</v>
      </c>
      <c r="BK78" s="601">
        <f t="shared" si="196"/>
        <v>0</v>
      </c>
      <c r="BL78" s="601">
        <f t="shared" si="196"/>
        <v>0</v>
      </c>
      <c r="BM78" s="601">
        <f t="shared" si="196"/>
        <v>0</v>
      </c>
      <c r="BN78" s="362">
        <f t="shared" si="188"/>
        <v>1</v>
      </c>
      <c r="BO78" s="362">
        <f t="shared" si="189"/>
        <v>1</v>
      </c>
      <c r="BP78" s="362">
        <f t="shared" si="190"/>
        <v>0</v>
      </c>
      <c r="BQ78" s="362">
        <f t="shared" si="191"/>
        <v>8</v>
      </c>
    </row>
    <row r="79" spans="2:69" x14ac:dyDescent="0.25">
      <c r="BF79" s="601">
        <f t="shared" si="196"/>
        <v>0.26574803149606263</v>
      </c>
      <c r="BG79" s="601">
        <f t="shared" si="196"/>
        <v>3.6712598425196856</v>
      </c>
      <c r="BH79" s="601">
        <f t="shared" si="196"/>
        <v>0.8733595800524927</v>
      </c>
      <c r="BI79" s="601">
        <f t="shared" si="196"/>
        <v>0</v>
      </c>
      <c r="BJ79" s="601">
        <f t="shared" si="196"/>
        <v>0</v>
      </c>
      <c r="BK79" s="601">
        <f t="shared" si="196"/>
        <v>0</v>
      </c>
      <c r="BL79" s="601">
        <f t="shared" si="196"/>
        <v>0</v>
      </c>
      <c r="BM79" s="601">
        <f t="shared" si="196"/>
        <v>0</v>
      </c>
      <c r="BN79" s="362">
        <f t="shared" si="188"/>
        <v>0</v>
      </c>
      <c r="BO79" s="362">
        <f t="shared" si="189"/>
        <v>0</v>
      </c>
      <c r="BP79" s="362">
        <f t="shared" si="190"/>
        <v>0</v>
      </c>
      <c r="BQ79" s="362">
        <f t="shared" si="191"/>
        <v>8</v>
      </c>
    </row>
    <row r="80" spans="2:69" x14ac:dyDescent="0.25">
      <c r="BF80" s="601">
        <f t="shared" si="196"/>
        <v>0.34908136482939589</v>
      </c>
      <c r="BG80" s="601">
        <f t="shared" si="196"/>
        <v>1.9475065616797902</v>
      </c>
      <c r="BH80" s="601">
        <f t="shared" si="196"/>
        <v>10.149606299212598</v>
      </c>
      <c r="BI80" s="601">
        <f t="shared" si="196"/>
        <v>0</v>
      </c>
      <c r="BJ80" s="601">
        <f t="shared" si="196"/>
        <v>0</v>
      </c>
      <c r="BK80" s="601">
        <f t="shared" si="196"/>
        <v>0</v>
      </c>
      <c r="BL80" s="601">
        <f t="shared" si="196"/>
        <v>0</v>
      </c>
      <c r="BM80" s="601">
        <f t="shared" si="196"/>
        <v>0</v>
      </c>
      <c r="BN80" s="362">
        <f t="shared" si="188"/>
        <v>1</v>
      </c>
      <c r="BO80" s="362">
        <f t="shared" si="189"/>
        <v>1</v>
      </c>
      <c r="BP80" s="362">
        <f t="shared" si="190"/>
        <v>0</v>
      </c>
      <c r="BQ80" s="362">
        <f t="shared" si="191"/>
        <v>8</v>
      </c>
    </row>
    <row r="81" spans="58:69" x14ac:dyDescent="0.25">
      <c r="BF81" s="601">
        <f t="shared" si="196"/>
        <v>1.3828740157480308</v>
      </c>
      <c r="BG81" s="601">
        <f t="shared" si="196"/>
        <v>5.5396981627296586</v>
      </c>
      <c r="BH81" s="601">
        <f t="shared" si="196"/>
        <v>10.460958005249344</v>
      </c>
      <c r="BI81" s="601">
        <f t="shared" si="196"/>
        <v>0</v>
      </c>
      <c r="BJ81" s="601">
        <f t="shared" si="196"/>
        <v>0</v>
      </c>
      <c r="BK81" s="601">
        <f t="shared" si="196"/>
        <v>0</v>
      </c>
      <c r="BL81" s="601">
        <f t="shared" si="196"/>
        <v>0</v>
      </c>
      <c r="BM81" s="601">
        <f t="shared" si="196"/>
        <v>0</v>
      </c>
      <c r="BN81" s="362">
        <f t="shared" si="188"/>
        <v>1</v>
      </c>
      <c r="BO81" s="362">
        <f t="shared" si="189"/>
        <v>1</v>
      </c>
      <c r="BP81" s="362">
        <f t="shared" si="190"/>
        <v>0</v>
      </c>
      <c r="BQ81" s="362">
        <f t="shared" si="191"/>
        <v>8</v>
      </c>
    </row>
    <row r="82" spans="58:69" x14ac:dyDescent="0.25">
      <c r="BF82" s="601">
        <f t="shared" si="196"/>
        <v>0.27337598425196852</v>
      </c>
      <c r="BG82" s="601">
        <f t="shared" si="196"/>
        <v>6.3429297900262469</v>
      </c>
      <c r="BH82" s="601">
        <f t="shared" si="196"/>
        <v>5.1854494750656173</v>
      </c>
      <c r="BI82" s="601">
        <f t="shared" si="196"/>
        <v>0</v>
      </c>
      <c r="BJ82" s="601">
        <f t="shared" si="196"/>
        <v>0</v>
      </c>
      <c r="BK82" s="601">
        <f t="shared" si="196"/>
        <v>0</v>
      </c>
      <c r="BL82" s="601">
        <f t="shared" si="196"/>
        <v>0</v>
      </c>
      <c r="BM82" s="601">
        <f t="shared" si="196"/>
        <v>0</v>
      </c>
      <c r="BN82" s="362">
        <f t="shared" si="188"/>
        <v>0</v>
      </c>
      <c r="BO82" s="362">
        <f t="shared" si="189"/>
        <v>0</v>
      </c>
      <c r="BP82" s="362">
        <f t="shared" si="190"/>
        <v>0</v>
      </c>
      <c r="BQ82" s="362">
        <f t="shared" si="191"/>
        <v>8</v>
      </c>
    </row>
    <row r="83" spans="58:69" x14ac:dyDescent="0.25">
      <c r="BF83" s="601">
        <f t="shared" si="196"/>
        <v>0.16158136482939667</v>
      </c>
      <c r="BG83" s="601">
        <f t="shared" si="196"/>
        <v>10.163877952755907</v>
      </c>
      <c r="BH83" s="601">
        <f t="shared" si="196"/>
        <v>8.5050853018372692</v>
      </c>
      <c r="BI83" s="601">
        <f t="shared" si="196"/>
        <v>2.9092847769028829</v>
      </c>
      <c r="BJ83" s="601">
        <f t="shared" si="196"/>
        <v>0</v>
      </c>
      <c r="BK83" s="601">
        <f t="shared" si="196"/>
        <v>0</v>
      </c>
      <c r="BL83" s="601">
        <f t="shared" si="196"/>
        <v>0</v>
      </c>
      <c r="BM83" s="601">
        <f t="shared" si="196"/>
        <v>0</v>
      </c>
      <c r="BN83" s="362">
        <f t="shared" si="188"/>
        <v>2</v>
      </c>
      <c r="BO83" s="362">
        <f t="shared" si="189"/>
        <v>1</v>
      </c>
      <c r="BP83" s="362">
        <f t="shared" si="190"/>
        <v>1</v>
      </c>
      <c r="BQ83" s="362">
        <f t="shared" si="191"/>
        <v>8</v>
      </c>
    </row>
    <row r="84" spans="58:69" x14ac:dyDescent="0.25">
      <c r="BF84" s="601">
        <f t="shared" si="196"/>
        <v>1.6824146981627293</v>
      </c>
      <c r="BG84" s="601">
        <f t="shared" si="196"/>
        <v>10.456692913385828</v>
      </c>
      <c r="BH84" s="601">
        <f t="shared" si="196"/>
        <v>8.1417322834645667</v>
      </c>
      <c r="BI84" s="601">
        <f t="shared" si="196"/>
        <v>5.8267716535433118</v>
      </c>
      <c r="BJ84" s="601">
        <f t="shared" si="196"/>
        <v>0</v>
      </c>
      <c r="BK84" s="601">
        <f t="shared" si="196"/>
        <v>0</v>
      </c>
      <c r="BL84" s="601">
        <f t="shared" si="196"/>
        <v>0</v>
      </c>
      <c r="BM84" s="601">
        <f t="shared" si="196"/>
        <v>0</v>
      </c>
      <c r="BN84" s="362">
        <f t="shared" si="188"/>
        <v>2</v>
      </c>
      <c r="BO84" s="362">
        <f t="shared" si="189"/>
        <v>1</v>
      </c>
      <c r="BP84" s="362">
        <f t="shared" si="190"/>
        <v>1</v>
      </c>
      <c r="BQ84" s="362">
        <f t="shared" si="191"/>
        <v>8</v>
      </c>
    </row>
    <row r="85" spans="58:69" x14ac:dyDescent="0.25">
      <c r="BF85" s="601">
        <f t="shared" si="196"/>
        <v>9.8835301837270392E-2</v>
      </c>
      <c r="BG85" s="601">
        <f t="shared" si="196"/>
        <v>5.6762631233595799</v>
      </c>
      <c r="BH85" s="601">
        <f t="shared" si="196"/>
        <v>1.2379429133858266</v>
      </c>
      <c r="BI85" s="601">
        <f t="shared" si="196"/>
        <v>0</v>
      </c>
      <c r="BJ85" s="601">
        <f t="shared" si="196"/>
        <v>0</v>
      </c>
      <c r="BK85" s="601">
        <f t="shared" si="196"/>
        <v>0</v>
      </c>
      <c r="BL85" s="601">
        <f t="shared" si="196"/>
        <v>0</v>
      </c>
      <c r="BM85" s="601">
        <f t="shared" si="196"/>
        <v>0</v>
      </c>
      <c r="BN85" s="362">
        <f t="shared" si="188"/>
        <v>0</v>
      </c>
      <c r="BO85" s="362">
        <f t="shared" si="189"/>
        <v>0</v>
      </c>
      <c r="BP85" s="362">
        <f t="shared" si="190"/>
        <v>0</v>
      </c>
      <c r="BQ85" s="362">
        <f t="shared" si="191"/>
        <v>8</v>
      </c>
    </row>
    <row r="86" spans="58:69" x14ac:dyDescent="0.25">
      <c r="BF86" s="601" t="e">
        <f>IF(#REF!&lt;&gt;"",IF(#REF!&lt;0,1-MOD(#REF!,1),MOD(#REF!,1))*11,"")</f>
        <v>#REF!</v>
      </c>
      <c r="BG86" s="601" t="e">
        <f>IF(#REF!&lt;&gt;"",IF(#REF!&lt;0,1-MOD(#REF!,1),MOD(#REF!,1))*11,"")</f>
        <v>#REF!</v>
      </c>
      <c r="BH86" s="601" t="e">
        <f>IF(#REF!&lt;&gt;"",IF(#REF!&lt;0,1-MOD(#REF!,1),MOD(#REF!,1))*11,"")</f>
        <v>#REF!</v>
      </c>
      <c r="BI86" s="601" t="e">
        <f>IF(#REF!&lt;&gt;"",IF(#REF!&lt;0,1-MOD(#REF!,1),MOD(#REF!,1))*11,"")</f>
        <v>#REF!</v>
      </c>
      <c r="BJ86" s="601" t="e">
        <f>IF(#REF!&lt;&gt;"",IF(#REF!&lt;0,1-MOD(#REF!,1),MOD(#REF!,1))*11,"")</f>
        <v>#REF!</v>
      </c>
      <c r="BK86" s="601" t="e">
        <f>IF(#REF!&lt;&gt;"",IF(#REF!&lt;0,1-MOD(#REF!,1),MOD(#REF!,1))*11,"")</f>
        <v>#REF!</v>
      </c>
      <c r="BL86" s="601" t="e">
        <f>IF(#REF!&lt;&gt;"",IF(#REF!&lt;0,1-MOD(#REF!,1),MOD(#REF!,1))*11,"")</f>
        <v>#REF!</v>
      </c>
      <c r="BM86" s="601" t="e">
        <f>IF(#REF!&lt;&gt;"",IF(#REF!&lt;0,1-MOD(#REF!,1),MOD(#REF!,1))*11,"")</f>
        <v>#REF!</v>
      </c>
      <c r="BN86" s="362">
        <f t="shared" si="188"/>
        <v>0</v>
      </c>
      <c r="BO86" s="362">
        <f t="shared" si="189"/>
        <v>0</v>
      </c>
      <c r="BP86" s="362">
        <f t="shared" si="190"/>
        <v>0</v>
      </c>
      <c r="BQ86" s="362">
        <f t="shared" si="191"/>
        <v>0</v>
      </c>
    </row>
    <row r="87" spans="58:69" x14ac:dyDescent="0.25">
      <c r="BF87" s="601">
        <f t="shared" ref="BF87:BM87" si="197">IF(BF34&lt;&gt;"",IF(BF34&lt;0,1-MOD(BF34,1),MOD(BF34,1))*11,"")</f>
        <v>0.224081364829396</v>
      </c>
      <c r="BG87" s="601">
        <f t="shared" si="197"/>
        <v>2.0725065616797904</v>
      </c>
      <c r="BH87" s="601">
        <f t="shared" si="197"/>
        <v>3.0383858267716546</v>
      </c>
      <c r="BI87" s="601">
        <f t="shared" si="197"/>
        <v>0.72342519685039441</v>
      </c>
      <c r="BJ87" s="601">
        <f t="shared" si="197"/>
        <v>10.565944881889759</v>
      </c>
      <c r="BK87" s="601">
        <f t="shared" si="197"/>
        <v>0</v>
      </c>
      <c r="BL87" s="601">
        <f t="shared" si="197"/>
        <v>0</v>
      </c>
      <c r="BM87" s="601">
        <f t="shared" si="197"/>
        <v>0</v>
      </c>
      <c r="BN87" s="362">
        <f t="shared" si="188"/>
        <v>1</v>
      </c>
      <c r="BO87" s="362">
        <f t="shared" si="189"/>
        <v>1</v>
      </c>
      <c r="BP87" s="362">
        <f t="shared" si="190"/>
        <v>0</v>
      </c>
      <c r="BQ87" s="362">
        <f t="shared" si="191"/>
        <v>8</v>
      </c>
    </row>
    <row r="88" spans="58:69" x14ac:dyDescent="0.25">
      <c r="BF88" s="601" t="e">
        <f>IF(#REF!&lt;&gt;"",IF(#REF!&lt;0,1-MOD(#REF!,1),MOD(#REF!,1))*11,"")</f>
        <v>#REF!</v>
      </c>
      <c r="BG88" s="601" t="e">
        <f>IF(#REF!&lt;&gt;"",IF(#REF!&lt;0,1-MOD(#REF!,1),MOD(#REF!,1))*11,"")</f>
        <v>#REF!</v>
      </c>
      <c r="BH88" s="601" t="e">
        <f>IF(#REF!&lt;&gt;"",IF(#REF!&lt;0,1-MOD(#REF!,1),MOD(#REF!,1))*11,"")</f>
        <v>#REF!</v>
      </c>
      <c r="BI88" s="601" t="e">
        <f>IF(#REF!&lt;&gt;"",IF(#REF!&lt;0,1-MOD(#REF!,1),MOD(#REF!,1))*11,"")</f>
        <v>#REF!</v>
      </c>
      <c r="BJ88" s="601" t="e">
        <f>IF(#REF!&lt;&gt;"",IF(#REF!&lt;0,1-MOD(#REF!,1),MOD(#REF!,1))*11,"")</f>
        <v>#REF!</v>
      </c>
      <c r="BK88" s="601" t="e">
        <f>IF(#REF!&lt;&gt;"",IF(#REF!&lt;0,1-MOD(#REF!,1),MOD(#REF!,1))*11,"")</f>
        <v>#REF!</v>
      </c>
      <c r="BL88" s="601" t="e">
        <f>IF(#REF!&lt;&gt;"",IF(#REF!&lt;0,1-MOD(#REF!,1),MOD(#REF!,1))*11,"")</f>
        <v>#REF!</v>
      </c>
      <c r="BM88" s="601" t="e">
        <f>IF(#REF!&lt;&gt;"",IF(#REF!&lt;0,1-MOD(#REF!,1),MOD(#REF!,1))*11,"")</f>
        <v>#REF!</v>
      </c>
      <c r="BN88" s="362">
        <f t="shared" si="188"/>
        <v>0</v>
      </c>
      <c r="BO88" s="362">
        <f t="shared" si="189"/>
        <v>0</v>
      </c>
      <c r="BP88" s="362">
        <f t="shared" si="190"/>
        <v>0</v>
      </c>
      <c r="BQ88" s="362">
        <f t="shared" si="191"/>
        <v>0</v>
      </c>
    </row>
    <row r="89" spans="58:69" x14ac:dyDescent="0.25">
      <c r="BF89" s="601" t="e">
        <f>IF(#REF!&lt;&gt;"",IF(#REF!&lt;0,1-MOD(#REF!,1),MOD(#REF!,1))*11,"")</f>
        <v>#REF!</v>
      </c>
      <c r="BG89" s="601" t="e">
        <f>IF(#REF!&lt;&gt;"",IF(#REF!&lt;0,1-MOD(#REF!,1),MOD(#REF!,1))*11,"")</f>
        <v>#REF!</v>
      </c>
      <c r="BH89" s="601" t="e">
        <f>IF(#REF!&lt;&gt;"",IF(#REF!&lt;0,1-MOD(#REF!,1),MOD(#REF!,1))*11,"")</f>
        <v>#REF!</v>
      </c>
      <c r="BI89" s="601" t="e">
        <f>IF(#REF!&lt;&gt;"",IF(#REF!&lt;0,1-MOD(#REF!,1),MOD(#REF!,1))*11,"")</f>
        <v>#REF!</v>
      </c>
      <c r="BJ89" s="601" t="e">
        <f>IF(#REF!&lt;&gt;"",IF(#REF!&lt;0,1-MOD(#REF!,1),MOD(#REF!,1))*11,"")</f>
        <v>#REF!</v>
      </c>
      <c r="BK89" s="601" t="e">
        <f>IF(#REF!&lt;&gt;"",IF(#REF!&lt;0,1-MOD(#REF!,1),MOD(#REF!,1))*11,"")</f>
        <v>#REF!</v>
      </c>
      <c r="BL89" s="601" t="e">
        <f>IF(#REF!&lt;&gt;"",IF(#REF!&lt;0,1-MOD(#REF!,1),MOD(#REF!,1))*11,"")</f>
        <v>#REF!</v>
      </c>
      <c r="BM89" s="601" t="e">
        <f>IF(#REF!&lt;&gt;"",IF(#REF!&lt;0,1-MOD(#REF!,1),MOD(#REF!,1))*11,"")</f>
        <v>#REF!</v>
      </c>
      <c r="BN89" s="362">
        <f t="shared" si="188"/>
        <v>0</v>
      </c>
      <c r="BO89" s="362">
        <f t="shared" si="189"/>
        <v>0</v>
      </c>
      <c r="BP89" s="362">
        <f t="shared" si="190"/>
        <v>0</v>
      </c>
      <c r="BQ89" s="362">
        <f t="shared" si="191"/>
        <v>0</v>
      </c>
    </row>
    <row r="90" spans="58:69" x14ac:dyDescent="0.25">
      <c r="BF90" s="601">
        <f t="shared" ref="BF90:BM91" si="198">IF(BF35&lt;&gt;"",IF(BF35&lt;0,1-MOD(BF35,1),MOD(BF35,1))*11,"")</f>
        <v>0.5521653543307089</v>
      </c>
      <c r="BG90" s="601">
        <f t="shared" si="198"/>
        <v>2.0725065616797904</v>
      </c>
      <c r="BH90" s="601">
        <f t="shared" si="198"/>
        <v>0.91502624671916055</v>
      </c>
      <c r="BI90" s="601">
        <f t="shared" si="198"/>
        <v>0</v>
      </c>
      <c r="BJ90" s="601">
        <f t="shared" si="198"/>
        <v>0</v>
      </c>
      <c r="BK90" s="601">
        <f t="shared" si="198"/>
        <v>0</v>
      </c>
      <c r="BL90" s="601">
        <f t="shared" si="198"/>
        <v>0</v>
      </c>
      <c r="BM90" s="601">
        <f t="shared" si="198"/>
        <v>0</v>
      </c>
      <c r="BN90" s="362">
        <f t="shared" si="188"/>
        <v>0</v>
      </c>
      <c r="BO90" s="362">
        <f t="shared" si="189"/>
        <v>0</v>
      </c>
      <c r="BP90" s="362">
        <f t="shared" si="190"/>
        <v>0</v>
      </c>
      <c r="BQ90" s="362">
        <f t="shared" si="191"/>
        <v>8</v>
      </c>
    </row>
    <row r="91" spans="58:69" x14ac:dyDescent="0.25">
      <c r="BF91" s="601">
        <f t="shared" si="198"/>
        <v>0.67716535433070879</v>
      </c>
      <c r="BG91" s="601">
        <f t="shared" si="198"/>
        <v>5.2283464566929139</v>
      </c>
      <c r="BH91" s="601">
        <f t="shared" si="198"/>
        <v>0.79002624671915944</v>
      </c>
      <c r="BI91" s="601">
        <f t="shared" si="198"/>
        <v>0</v>
      </c>
      <c r="BJ91" s="601">
        <f t="shared" si="198"/>
        <v>0</v>
      </c>
      <c r="BK91" s="601">
        <f t="shared" si="198"/>
        <v>0</v>
      </c>
      <c r="BL91" s="601">
        <f t="shared" si="198"/>
        <v>0</v>
      </c>
      <c r="BM91" s="601">
        <f t="shared" si="198"/>
        <v>0</v>
      </c>
      <c r="BN91" s="362">
        <f t="shared" si="188"/>
        <v>0</v>
      </c>
      <c r="BO91" s="362">
        <f t="shared" si="189"/>
        <v>0</v>
      </c>
      <c r="BP91" s="362">
        <f t="shared" si="190"/>
        <v>0</v>
      </c>
      <c r="BQ91" s="362">
        <f t="shared" si="191"/>
        <v>8</v>
      </c>
    </row>
    <row r="92" spans="58:69" x14ac:dyDescent="0.25">
      <c r="BF92" s="601" t="e">
        <f>IF(#REF!&lt;&gt;"",IF(#REF!&lt;0,1-MOD(#REF!,1),MOD(#REF!,1))*11,"")</f>
        <v>#REF!</v>
      </c>
      <c r="BG92" s="601" t="e">
        <f>IF(#REF!&lt;&gt;"",IF(#REF!&lt;0,1-MOD(#REF!,1),MOD(#REF!,1))*11,"")</f>
        <v>#REF!</v>
      </c>
      <c r="BH92" s="601" t="e">
        <f>IF(#REF!&lt;&gt;"",IF(#REF!&lt;0,1-MOD(#REF!,1),MOD(#REF!,1))*11,"")</f>
        <v>#REF!</v>
      </c>
      <c r="BI92" s="601" t="e">
        <f>IF(#REF!&lt;&gt;"",IF(#REF!&lt;0,1-MOD(#REF!,1),MOD(#REF!,1))*11,"")</f>
        <v>#REF!</v>
      </c>
      <c r="BJ92" s="601" t="e">
        <f>IF(#REF!&lt;&gt;"",IF(#REF!&lt;0,1-MOD(#REF!,1),MOD(#REF!,1))*11,"")</f>
        <v>#REF!</v>
      </c>
      <c r="BK92" s="601" t="e">
        <f>IF(#REF!&lt;&gt;"",IF(#REF!&lt;0,1-MOD(#REF!,1),MOD(#REF!,1))*11,"")</f>
        <v>#REF!</v>
      </c>
      <c r="BL92" s="601" t="e">
        <f>IF(#REF!&lt;&gt;"",IF(#REF!&lt;0,1-MOD(#REF!,1),MOD(#REF!,1))*11,"")</f>
        <v>#REF!</v>
      </c>
      <c r="BM92" s="601" t="e">
        <f>IF(#REF!&lt;&gt;"",IF(#REF!&lt;0,1-MOD(#REF!,1),MOD(#REF!,1))*11,"")</f>
        <v>#REF!</v>
      </c>
      <c r="BN92" s="362">
        <f t="shared" si="188"/>
        <v>0</v>
      </c>
      <c r="BO92" s="362">
        <f t="shared" si="189"/>
        <v>0</v>
      </c>
      <c r="BP92" s="362">
        <f t="shared" si="190"/>
        <v>0</v>
      </c>
      <c r="BQ92" s="362">
        <f t="shared" si="191"/>
        <v>0</v>
      </c>
    </row>
    <row r="93" spans="58:69" x14ac:dyDescent="0.25">
      <c r="BF93" s="601">
        <f t="shared" ref="BF93:BM94" si="199">IF(BF37&lt;&gt;"",IF(BF37&lt;0,1-MOD(BF37,1),MOD(BF37,1))*11,"")</f>
        <v>0.51312335958005295</v>
      </c>
      <c r="BG93" s="601">
        <f t="shared" si="199"/>
        <v>4.5721784776902892</v>
      </c>
      <c r="BH93" s="601">
        <f t="shared" si="199"/>
        <v>0.79002624671915944</v>
      </c>
      <c r="BI93" s="601">
        <f t="shared" si="199"/>
        <v>0</v>
      </c>
      <c r="BJ93" s="601">
        <f t="shared" si="199"/>
        <v>0</v>
      </c>
      <c r="BK93" s="601">
        <f t="shared" si="199"/>
        <v>0</v>
      </c>
      <c r="BL93" s="601">
        <f t="shared" si="199"/>
        <v>0</v>
      </c>
      <c r="BM93" s="601">
        <f t="shared" si="199"/>
        <v>0</v>
      </c>
      <c r="BN93" s="362">
        <f t="shared" si="188"/>
        <v>0</v>
      </c>
      <c r="BO93" s="362">
        <f t="shared" si="189"/>
        <v>0</v>
      </c>
      <c r="BP93" s="362">
        <f t="shared" si="190"/>
        <v>0</v>
      </c>
      <c r="BQ93" s="362">
        <f t="shared" si="191"/>
        <v>8</v>
      </c>
    </row>
    <row r="94" spans="58:69" x14ac:dyDescent="0.25">
      <c r="BF94" s="601">
        <f t="shared" si="199"/>
        <v>0.71362368766404194</v>
      </c>
      <c r="BG94" s="601">
        <f t="shared" si="199"/>
        <v>2.8953001968503931</v>
      </c>
      <c r="BH94" s="601">
        <f t="shared" si="199"/>
        <v>0.75356791338582751</v>
      </c>
      <c r="BI94" s="601">
        <f t="shared" si="199"/>
        <v>0</v>
      </c>
      <c r="BJ94" s="601">
        <f t="shared" si="199"/>
        <v>0</v>
      </c>
      <c r="BK94" s="601">
        <f t="shared" si="199"/>
        <v>0</v>
      </c>
      <c r="BL94" s="601">
        <f t="shared" si="199"/>
        <v>0</v>
      </c>
      <c r="BM94" s="601">
        <f t="shared" si="199"/>
        <v>0</v>
      </c>
      <c r="BN94" s="362">
        <f t="shared" si="188"/>
        <v>0</v>
      </c>
      <c r="BO94" s="362">
        <f t="shared" si="189"/>
        <v>0</v>
      </c>
      <c r="BP94" s="362">
        <f t="shared" si="190"/>
        <v>0</v>
      </c>
      <c r="BQ94" s="362">
        <f t="shared" si="191"/>
        <v>8</v>
      </c>
    </row>
    <row r="95" spans="58:69" x14ac:dyDescent="0.25">
      <c r="BF95" s="601" t="e">
        <f>IF(#REF!&lt;&gt;"",IF(#REF!&lt;0,1-MOD(#REF!,1),MOD(#REF!,1))*11,"")</f>
        <v>#REF!</v>
      </c>
      <c r="BG95" s="601" t="e">
        <f>IF(#REF!&lt;&gt;"",IF(#REF!&lt;0,1-MOD(#REF!,1),MOD(#REF!,1))*11,"")</f>
        <v>#REF!</v>
      </c>
      <c r="BH95" s="601" t="e">
        <f>IF(#REF!&lt;&gt;"",IF(#REF!&lt;0,1-MOD(#REF!,1),MOD(#REF!,1))*11,"")</f>
        <v>#REF!</v>
      </c>
      <c r="BI95" s="601" t="e">
        <f>IF(#REF!&lt;&gt;"",IF(#REF!&lt;0,1-MOD(#REF!,1),MOD(#REF!,1))*11,"")</f>
        <v>#REF!</v>
      </c>
      <c r="BJ95" s="601" t="e">
        <f>IF(#REF!&lt;&gt;"",IF(#REF!&lt;0,1-MOD(#REF!,1),MOD(#REF!,1))*11,"")</f>
        <v>#REF!</v>
      </c>
      <c r="BK95" s="601" t="e">
        <f>IF(#REF!&lt;&gt;"",IF(#REF!&lt;0,1-MOD(#REF!,1),MOD(#REF!,1))*11,"")</f>
        <v>#REF!</v>
      </c>
      <c r="BL95" s="601" t="e">
        <f>IF(#REF!&lt;&gt;"",IF(#REF!&lt;0,1-MOD(#REF!,1),MOD(#REF!,1))*11,"")</f>
        <v>#REF!</v>
      </c>
      <c r="BM95" s="601" t="e">
        <f>IF(#REF!&lt;&gt;"",IF(#REF!&lt;0,1-MOD(#REF!,1),MOD(#REF!,1))*11,"")</f>
        <v>#REF!</v>
      </c>
      <c r="BN95" s="362">
        <f t="shared" si="188"/>
        <v>0</v>
      </c>
      <c r="BO95" s="362">
        <f t="shared" si="189"/>
        <v>0</v>
      </c>
      <c r="BP95" s="362">
        <f t="shared" si="190"/>
        <v>0</v>
      </c>
      <c r="BQ95" s="362">
        <f t="shared" si="191"/>
        <v>0</v>
      </c>
    </row>
    <row r="96" spans="58:69" x14ac:dyDescent="0.25">
      <c r="BF96" s="601">
        <f t="shared" ref="BF96:BM96" si="200">IF(BF39&lt;&gt;"",IF(BF39&lt;0,1-MOD(BF39,1),MOD(BF39,1))*11,"")</f>
        <v>0.5521653543307089</v>
      </c>
      <c r="BG96" s="601">
        <f t="shared" si="200"/>
        <v>5.3533464566929139</v>
      </c>
      <c r="BH96" s="601">
        <f t="shared" si="200"/>
        <v>0.91502624671916055</v>
      </c>
      <c r="BI96" s="601">
        <f t="shared" si="200"/>
        <v>0</v>
      </c>
      <c r="BJ96" s="601">
        <f t="shared" si="200"/>
        <v>0</v>
      </c>
      <c r="BK96" s="601">
        <f t="shared" si="200"/>
        <v>0</v>
      </c>
      <c r="BL96" s="601">
        <f t="shared" si="200"/>
        <v>0</v>
      </c>
      <c r="BM96" s="601">
        <f t="shared" si="200"/>
        <v>0</v>
      </c>
      <c r="BN96" s="362">
        <f t="shared" si="188"/>
        <v>0</v>
      </c>
      <c r="BO96" s="362">
        <f t="shared" si="189"/>
        <v>0</v>
      </c>
      <c r="BP96" s="362">
        <f t="shared" si="190"/>
        <v>0</v>
      </c>
      <c r="BQ96" s="362">
        <f t="shared" si="191"/>
        <v>8</v>
      </c>
    </row>
    <row r="97" spans="58:69" x14ac:dyDescent="0.25">
      <c r="BF97" s="601" t="e">
        <f>IF(#REF!&lt;&gt;"",IF(#REF!&lt;0,1-MOD(#REF!,1),MOD(#REF!,1))*11,"")</f>
        <v>#REF!</v>
      </c>
      <c r="BG97" s="601" t="e">
        <f>IF(#REF!&lt;&gt;"",IF(#REF!&lt;0,1-MOD(#REF!,1),MOD(#REF!,1))*11,"")</f>
        <v>#REF!</v>
      </c>
      <c r="BH97" s="601" t="e">
        <f>IF(#REF!&lt;&gt;"",IF(#REF!&lt;0,1-MOD(#REF!,1),MOD(#REF!,1))*11,"")</f>
        <v>#REF!</v>
      </c>
      <c r="BI97" s="601" t="e">
        <f>IF(#REF!&lt;&gt;"",IF(#REF!&lt;0,1-MOD(#REF!,1),MOD(#REF!,1))*11,"")</f>
        <v>#REF!</v>
      </c>
      <c r="BJ97" s="601" t="e">
        <f>IF(#REF!&lt;&gt;"",IF(#REF!&lt;0,1-MOD(#REF!,1),MOD(#REF!,1))*11,"")</f>
        <v>#REF!</v>
      </c>
      <c r="BK97" s="601" t="e">
        <f>IF(#REF!&lt;&gt;"",IF(#REF!&lt;0,1-MOD(#REF!,1),MOD(#REF!,1))*11,"")</f>
        <v>#REF!</v>
      </c>
      <c r="BL97" s="601" t="e">
        <f>IF(#REF!&lt;&gt;"",IF(#REF!&lt;0,1-MOD(#REF!,1),MOD(#REF!,1))*11,"")</f>
        <v>#REF!</v>
      </c>
      <c r="BM97" s="601" t="e">
        <f>IF(#REF!&lt;&gt;"",IF(#REF!&lt;0,1-MOD(#REF!,1),MOD(#REF!,1))*11,"")</f>
        <v>#REF!</v>
      </c>
      <c r="BN97" s="362">
        <f t="shared" si="188"/>
        <v>0</v>
      </c>
      <c r="BO97" s="362">
        <f t="shared" si="189"/>
        <v>0</v>
      </c>
      <c r="BP97" s="362">
        <f t="shared" si="190"/>
        <v>0</v>
      </c>
      <c r="BQ97" s="362">
        <f t="shared" si="191"/>
        <v>0</v>
      </c>
    </row>
    <row r="98" spans="58:69" x14ac:dyDescent="0.25">
      <c r="BF98" s="601" t="e">
        <f>IF(#REF!&lt;&gt;"",IF(#REF!&lt;0,1-MOD(#REF!,1),MOD(#REF!,1))*11,"")</f>
        <v>#REF!</v>
      </c>
      <c r="BG98" s="601" t="e">
        <f>IF(#REF!&lt;&gt;"",IF(#REF!&lt;0,1-MOD(#REF!,1),MOD(#REF!,1))*11,"")</f>
        <v>#REF!</v>
      </c>
      <c r="BH98" s="601" t="e">
        <f>IF(#REF!&lt;&gt;"",IF(#REF!&lt;0,1-MOD(#REF!,1),MOD(#REF!,1))*11,"")</f>
        <v>#REF!</v>
      </c>
      <c r="BI98" s="601" t="e">
        <f>IF(#REF!&lt;&gt;"",IF(#REF!&lt;0,1-MOD(#REF!,1),MOD(#REF!,1))*11,"")</f>
        <v>#REF!</v>
      </c>
      <c r="BJ98" s="601" t="e">
        <f>IF(#REF!&lt;&gt;"",IF(#REF!&lt;0,1-MOD(#REF!,1),MOD(#REF!,1))*11,"")</f>
        <v>#REF!</v>
      </c>
      <c r="BK98" s="601" t="e">
        <f>IF(#REF!&lt;&gt;"",IF(#REF!&lt;0,1-MOD(#REF!,1),MOD(#REF!,1))*11,"")</f>
        <v>#REF!</v>
      </c>
      <c r="BL98" s="601" t="e">
        <f>IF(#REF!&lt;&gt;"",IF(#REF!&lt;0,1-MOD(#REF!,1),MOD(#REF!,1))*11,"")</f>
        <v>#REF!</v>
      </c>
      <c r="BM98" s="601" t="e">
        <f>IF(#REF!&lt;&gt;"",IF(#REF!&lt;0,1-MOD(#REF!,1),MOD(#REF!,1))*11,"")</f>
        <v>#REF!</v>
      </c>
      <c r="BN98" s="362">
        <f t="shared" si="188"/>
        <v>0</v>
      </c>
      <c r="BO98" s="362">
        <f t="shared" si="189"/>
        <v>0</v>
      </c>
      <c r="BP98" s="362">
        <f t="shared" si="190"/>
        <v>0</v>
      </c>
      <c r="BQ98" s="362">
        <f t="shared" si="191"/>
        <v>0</v>
      </c>
    </row>
    <row r="99" spans="58:69" x14ac:dyDescent="0.25">
      <c r="BF99" s="601">
        <f t="shared" ref="BF99:BM99" si="201">IF(BF40&lt;&gt;"",IF(BF40&lt;0,1-MOD(BF40,1),MOD(BF40,1))*11,"")</f>
        <v>0.65091863517060378</v>
      </c>
      <c r="BG99" s="601">
        <f t="shared" si="201"/>
        <v>2.7559055118110201</v>
      </c>
      <c r="BH99" s="601">
        <f t="shared" si="201"/>
        <v>3.7217847769028864</v>
      </c>
      <c r="BI99" s="601">
        <f t="shared" si="201"/>
        <v>4.1679790026246799</v>
      </c>
      <c r="BJ99" s="601">
        <f t="shared" si="201"/>
        <v>1.5249343832020958</v>
      </c>
      <c r="BK99" s="601">
        <f t="shared" si="201"/>
        <v>2.6456692913385691</v>
      </c>
      <c r="BL99" s="601">
        <f t="shared" si="201"/>
        <v>1.6430446194225752</v>
      </c>
      <c r="BM99" s="601">
        <f t="shared" si="201"/>
        <v>0</v>
      </c>
      <c r="BN99" s="362">
        <f t="shared" si="188"/>
        <v>0</v>
      </c>
      <c r="BO99" s="362">
        <f t="shared" si="189"/>
        <v>0</v>
      </c>
      <c r="BP99" s="362">
        <f t="shared" si="190"/>
        <v>0</v>
      </c>
      <c r="BQ99" s="362">
        <f t="shared" si="191"/>
        <v>8</v>
      </c>
    </row>
    <row r="100" spans="58:69" x14ac:dyDescent="0.25">
      <c r="BF100" s="601" t="e">
        <f>IF(#REF!&lt;&gt;"",IF(#REF!&lt;0,1-MOD(#REF!,1),MOD(#REF!,1))*11,"")</f>
        <v>#REF!</v>
      </c>
      <c r="BG100" s="601" t="e">
        <f>IF(#REF!&lt;&gt;"",IF(#REF!&lt;0,1-MOD(#REF!,1),MOD(#REF!,1))*11,"")</f>
        <v>#REF!</v>
      </c>
      <c r="BH100" s="601" t="e">
        <f>IF(#REF!&lt;&gt;"",IF(#REF!&lt;0,1-MOD(#REF!,1),MOD(#REF!,1))*11,"")</f>
        <v>#REF!</v>
      </c>
      <c r="BI100" s="601" t="e">
        <f>IF(#REF!&lt;&gt;"",IF(#REF!&lt;0,1-MOD(#REF!,1),MOD(#REF!,1))*11,"")</f>
        <v>#REF!</v>
      </c>
      <c r="BJ100" s="601" t="e">
        <f>IF(#REF!&lt;&gt;"",IF(#REF!&lt;0,1-MOD(#REF!,1),MOD(#REF!,1))*11,"")</f>
        <v>#REF!</v>
      </c>
      <c r="BK100" s="601" t="e">
        <f>IF(#REF!&lt;&gt;"",IF(#REF!&lt;0,1-MOD(#REF!,1),MOD(#REF!,1))*11,"")</f>
        <v>#REF!</v>
      </c>
      <c r="BL100" s="601" t="e">
        <f>IF(#REF!&lt;&gt;"",IF(#REF!&lt;0,1-MOD(#REF!,1),MOD(#REF!,1))*11,"")</f>
        <v>#REF!</v>
      </c>
      <c r="BM100" s="601" t="e">
        <f>IF(#REF!&lt;&gt;"",IF(#REF!&lt;0,1-MOD(#REF!,1),MOD(#REF!,1))*11,"")</f>
        <v>#REF!</v>
      </c>
      <c r="BN100" s="362">
        <f t="shared" si="188"/>
        <v>0</v>
      </c>
      <c r="BO100" s="362">
        <f t="shared" si="189"/>
        <v>0</v>
      </c>
      <c r="BP100" s="362">
        <f t="shared" si="190"/>
        <v>0</v>
      </c>
      <c r="BQ100" s="362">
        <f t="shared" si="191"/>
        <v>0</v>
      </c>
    </row>
    <row r="101" spans="58:69" x14ac:dyDescent="0.25">
      <c r="BF101" s="601" t="e">
        <f>IF(#REF!&lt;&gt;"",IF(#REF!&lt;0,1-MOD(#REF!,1),MOD(#REF!,1))*11,"")</f>
        <v>#REF!</v>
      </c>
      <c r="BG101" s="601" t="e">
        <f>IF(#REF!&lt;&gt;"",IF(#REF!&lt;0,1-MOD(#REF!,1),MOD(#REF!,1))*11,"")</f>
        <v>#REF!</v>
      </c>
      <c r="BH101" s="601" t="e">
        <f>IF(#REF!&lt;&gt;"",IF(#REF!&lt;0,1-MOD(#REF!,1),MOD(#REF!,1))*11,"")</f>
        <v>#REF!</v>
      </c>
      <c r="BI101" s="601" t="e">
        <f>IF(#REF!&lt;&gt;"",IF(#REF!&lt;0,1-MOD(#REF!,1),MOD(#REF!,1))*11,"")</f>
        <v>#REF!</v>
      </c>
      <c r="BJ101" s="601" t="e">
        <f>IF(#REF!&lt;&gt;"",IF(#REF!&lt;0,1-MOD(#REF!,1),MOD(#REF!,1))*11,"")</f>
        <v>#REF!</v>
      </c>
      <c r="BK101" s="601" t="e">
        <f>IF(#REF!&lt;&gt;"",IF(#REF!&lt;0,1-MOD(#REF!,1),MOD(#REF!,1))*11,"")</f>
        <v>#REF!</v>
      </c>
      <c r="BL101" s="601" t="e">
        <f>IF(#REF!&lt;&gt;"",IF(#REF!&lt;0,1-MOD(#REF!,1),MOD(#REF!,1))*11,"")</f>
        <v>#REF!</v>
      </c>
      <c r="BM101" s="601" t="e">
        <f>IF(#REF!&lt;&gt;"",IF(#REF!&lt;0,1-MOD(#REF!,1),MOD(#REF!,1))*11,"")</f>
        <v>#REF!</v>
      </c>
      <c r="BN101" s="362">
        <f t="shared" si="188"/>
        <v>0</v>
      </c>
      <c r="BO101" s="362">
        <f t="shared" si="189"/>
        <v>0</v>
      </c>
      <c r="BP101" s="362">
        <f t="shared" si="190"/>
        <v>0</v>
      </c>
      <c r="BQ101" s="362">
        <f t="shared" si="191"/>
        <v>0</v>
      </c>
    </row>
    <row r="102" spans="58:69" x14ac:dyDescent="0.25">
      <c r="BF102" s="601">
        <f t="shared" ref="BF102:BM102" si="202">IF(BF41&lt;&gt;"",IF(BF41&lt;0,1-MOD(BF41,1),MOD(BF41,1))*11,"")</f>
        <v>1.6824146981627293</v>
      </c>
      <c r="BG102" s="601">
        <f t="shared" si="202"/>
        <v>1.0971128608923906</v>
      </c>
      <c r="BH102" s="601">
        <f t="shared" si="202"/>
        <v>6.5013123359580067</v>
      </c>
      <c r="BI102" s="601">
        <f t="shared" si="202"/>
        <v>6.2296587926509224</v>
      </c>
      <c r="BJ102" s="601">
        <f t="shared" si="202"/>
        <v>0</v>
      </c>
      <c r="BK102" s="601">
        <f t="shared" si="202"/>
        <v>0</v>
      </c>
      <c r="BL102" s="601">
        <f t="shared" si="202"/>
        <v>0</v>
      </c>
      <c r="BM102" s="601">
        <f t="shared" si="202"/>
        <v>0</v>
      </c>
      <c r="BN102" s="362">
        <f t="shared" si="188"/>
        <v>0</v>
      </c>
      <c r="BO102" s="362">
        <f t="shared" si="189"/>
        <v>0</v>
      </c>
      <c r="BP102" s="362">
        <f t="shared" si="190"/>
        <v>0</v>
      </c>
      <c r="BQ102" s="362">
        <f t="shared" si="191"/>
        <v>8</v>
      </c>
    </row>
    <row r="103" spans="58:69" x14ac:dyDescent="0.25">
      <c r="BF103" s="601" t="e">
        <f>IF(#REF!&lt;&gt;"",IF(#REF!&lt;0,1-MOD(#REF!,1),MOD(#REF!,1))*11,"")</f>
        <v>#REF!</v>
      </c>
      <c r="BG103" s="601" t="e">
        <f>IF(#REF!&lt;&gt;"",IF(#REF!&lt;0,1-MOD(#REF!,1),MOD(#REF!,1))*11,"")</f>
        <v>#REF!</v>
      </c>
      <c r="BH103" s="601" t="e">
        <f>IF(#REF!&lt;&gt;"",IF(#REF!&lt;0,1-MOD(#REF!,1),MOD(#REF!,1))*11,"")</f>
        <v>#REF!</v>
      </c>
      <c r="BI103" s="601" t="e">
        <f>IF(#REF!&lt;&gt;"",IF(#REF!&lt;0,1-MOD(#REF!,1),MOD(#REF!,1))*11,"")</f>
        <v>#REF!</v>
      </c>
      <c r="BJ103" s="601" t="e">
        <f>IF(#REF!&lt;&gt;"",IF(#REF!&lt;0,1-MOD(#REF!,1),MOD(#REF!,1))*11,"")</f>
        <v>#REF!</v>
      </c>
      <c r="BK103" s="601" t="e">
        <f>IF(#REF!&lt;&gt;"",IF(#REF!&lt;0,1-MOD(#REF!,1),MOD(#REF!,1))*11,"")</f>
        <v>#REF!</v>
      </c>
      <c r="BL103" s="601" t="e">
        <f>IF(#REF!&lt;&gt;"",IF(#REF!&lt;0,1-MOD(#REF!,1),MOD(#REF!,1))*11,"")</f>
        <v>#REF!</v>
      </c>
      <c r="BM103" s="601" t="e">
        <f>IF(#REF!&lt;&gt;"",IF(#REF!&lt;0,1-MOD(#REF!,1),MOD(#REF!,1))*11,"")</f>
        <v>#REF!</v>
      </c>
      <c r="BN103" s="362">
        <f t="shared" si="188"/>
        <v>0</v>
      </c>
      <c r="BO103" s="362">
        <f t="shared" si="189"/>
        <v>0</v>
      </c>
      <c r="BP103" s="362">
        <f t="shared" si="190"/>
        <v>0</v>
      </c>
      <c r="BQ103" s="362">
        <f t="shared" si="191"/>
        <v>0</v>
      </c>
    </row>
    <row r="104" spans="58:69" x14ac:dyDescent="0.25">
      <c r="BF104" s="601">
        <f t="shared" ref="BF104:BM110" si="203">IF(BF42&lt;&gt;"",IF(BF42&lt;0,1-MOD(BF42,1),MOD(BF42,1))*11,"")</f>
        <v>1.0574146981627299</v>
      </c>
      <c r="BG104" s="601">
        <f t="shared" si="203"/>
        <v>7.3162729658792336E-2</v>
      </c>
      <c r="BH104" s="601">
        <f t="shared" si="203"/>
        <v>3.3625328083989521</v>
      </c>
      <c r="BI104" s="601">
        <f t="shared" si="203"/>
        <v>0.85597112860891844</v>
      </c>
      <c r="BJ104" s="601">
        <f t="shared" si="203"/>
        <v>10.698490813648293</v>
      </c>
      <c r="BK104" s="601">
        <f t="shared" si="203"/>
        <v>0</v>
      </c>
      <c r="BL104" s="601">
        <f t="shared" si="203"/>
        <v>0</v>
      </c>
      <c r="BM104" s="601">
        <f t="shared" si="203"/>
        <v>0</v>
      </c>
      <c r="BN104" s="362">
        <f t="shared" si="188"/>
        <v>1</v>
      </c>
      <c r="BO104" s="362">
        <f t="shared" si="189"/>
        <v>1</v>
      </c>
      <c r="BP104" s="362">
        <f t="shared" si="190"/>
        <v>0</v>
      </c>
      <c r="BQ104" s="362">
        <f t="shared" si="191"/>
        <v>8</v>
      </c>
    </row>
    <row r="105" spans="58:69" x14ac:dyDescent="0.25">
      <c r="BF105" s="601">
        <f t="shared" si="203"/>
        <v>1.0574146981627299</v>
      </c>
      <c r="BG105" s="601">
        <f t="shared" si="203"/>
        <v>6.6433727034120738</v>
      </c>
      <c r="BH105" s="601">
        <f t="shared" si="203"/>
        <v>2.0134514435695534</v>
      </c>
      <c r="BI105" s="601">
        <f t="shared" si="203"/>
        <v>8.3835301837270233</v>
      </c>
      <c r="BJ105" s="601">
        <f t="shared" si="203"/>
        <v>6.0685695538057729</v>
      </c>
      <c r="BK105" s="601">
        <f t="shared" si="203"/>
        <v>0</v>
      </c>
      <c r="BL105" s="601">
        <f t="shared" si="203"/>
        <v>0</v>
      </c>
      <c r="BM105" s="601">
        <f t="shared" si="203"/>
        <v>0</v>
      </c>
      <c r="BN105" s="362">
        <f t="shared" si="188"/>
        <v>1</v>
      </c>
      <c r="BO105" s="362">
        <f t="shared" si="189"/>
        <v>0</v>
      </c>
      <c r="BP105" s="362">
        <f t="shared" si="190"/>
        <v>1</v>
      </c>
      <c r="BQ105" s="362">
        <f t="shared" si="191"/>
        <v>8</v>
      </c>
    </row>
    <row r="106" spans="58:69" x14ac:dyDescent="0.25">
      <c r="BF106" s="601">
        <f t="shared" si="203"/>
        <v>1.0574146981627299</v>
      </c>
      <c r="BG106" s="601">
        <f t="shared" si="203"/>
        <v>7.8008530183727043</v>
      </c>
      <c r="BH106" s="601">
        <f t="shared" si="203"/>
        <v>7.6092519685039406</v>
      </c>
      <c r="BI106" s="601">
        <f t="shared" si="203"/>
        <v>2.9793307086614051</v>
      </c>
      <c r="BJ106" s="601">
        <f t="shared" si="203"/>
        <v>2.7877296587926512</v>
      </c>
      <c r="BK106" s="601">
        <f t="shared" si="203"/>
        <v>8.0003280839894959</v>
      </c>
      <c r="BL106" s="601">
        <f t="shared" si="203"/>
        <v>0</v>
      </c>
      <c r="BM106" s="601">
        <f t="shared" si="203"/>
        <v>0</v>
      </c>
      <c r="BN106" s="362">
        <f t="shared" si="188"/>
        <v>1</v>
      </c>
      <c r="BO106" s="362">
        <f t="shared" si="189"/>
        <v>0</v>
      </c>
      <c r="BP106" s="362">
        <f t="shared" si="190"/>
        <v>1</v>
      </c>
      <c r="BQ106" s="362">
        <f t="shared" si="191"/>
        <v>8</v>
      </c>
    </row>
    <row r="107" spans="58:69" x14ac:dyDescent="0.25">
      <c r="BF107" s="601">
        <f t="shared" si="203"/>
        <v>0.38812335958005184</v>
      </c>
      <c r="BG107" s="601">
        <f t="shared" si="203"/>
        <v>2.0725065616797904</v>
      </c>
      <c r="BH107" s="601">
        <f t="shared" si="203"/>
        <v>10.274606299212598</v>
      </c>
      <c r="BI107" s="601">
        <f t="shared" si="203"/>
        <v>0</v>
      </c>
      <c r="BJ107" s="601">
        <f t="shared" si="203"/>
        <v>0</v>
      </c>
      <c r="BK107" s="601">
        <f t="shared" si="203"/>
        <v>0</v>
      </c>
      <c r="BL107" s="601">
        <f t="shared" si="203"/>
        <v>0</v>
      </c>
      <c r="BM107" s="601">
        <f t="shared" si="203"/>
        <v>0</v>
      </c>
      <c r="BN107" s="362">
        <f t="shared" si="188"/>
        <v>1</v>
      </c>
      <c r="BO107" s="362">
        <f t="shared" si="189"/>
        <v>1</v>
      </c>
      <c r="BP107" s="362">
        <f t="shared" si="190"/>
        <v>0</v>
      </c>
      <c r="BQ107" s="362">
        <f t="shared" si="191"/>
        <v>8</v>
      </c>
    </row>
    <row r="108" spans="58:69" x14ac:dyDescent="0.25">
      <c r="BF108" s="601">
        <f t="shared" si="203"/>
        <v>0.5521653543307089</v>
      </c>
      <c r="BG108" s="601">
        <f t="shared" si="203"/>
        <v>2.0725065616797904</v>
      </c>
      <c r="BH108" s="601">
        <f t="shared" si="203"/>
        <v>10.274606299212598</v>
      </c>
      <c r="BI108" s="601">
        <f t="shared" si="203"/>
        <v>0</v>
      </c>
      <c r="BJ108" s="601">
        <f t="shared" si="203"/>
        <v>0</v>
      </c>
      <c r="BK108" s="601">
        <f t="shared" si="203"/>
        <v>0</v>
      </c>
      <c r="BL108" s="601">
        <f t="shared" si="203"/>
        <v>0</v>
      </c>
      <c r="BM108" s="601">
        <f t="shared" si="203"/>
        <v>0</v>
      </c>
      <c r="BN108" s="362">
        <f t="shared" si="188"/>
        <v>1</v>
      </c>
      <c r="BO108" s="362">
        <f t="shared" si="189"/>
        <v>1</v>
      </c>
      <c r="BP108" s="362">
        <f t="shared" si="190"/>
        <v>0</v>
      </c>
      <c r="BQ108" s="362">
        <f t="shared" si="191"/>
        <v>8</v>
      </c>
    </row>
    <row r="109" spans="58:69" x14ac:dyDescent="0.25">
      <c r="BF109" s="601">
        <f t="shared" si="203"/>
        <v>4.5078740157480315</v>
      </c>
      <c r="BG109" s="601">
        <f t="shared" si="203"/>
        <v>7.8740157480314266E-2</v>
      </c>
      <c r="BH109" s="601">
        <f t="shared" si="203"/>
        <v>8.1233595800524938</v>
      </c>
      <c r="BI109" s="601">
        <f t="shared" si="203"/>
        <v>5.8083989501312363</v>
      </c>
      <c r="BJ109" s="601">
        <f t="shared" si="203"/>
        <v>0</v>
      </c>
      <c r="BK109" s="601">
        <f t="shared" si="203"/>
        <v>0</v>
      </c>
      <c r="BL109" s="601">
        <f t="shared" si="203"/>
        <v>0</v>
      </c>
      <c r="BM109" s="601">
        <f t="shared" si="203"/>
        <v>0</v>
      </c>
      <c r="BN109" s="362">
        <f t="shared" si="188"/>
        <v>1</v>
      </c>
      <c r="BO109" s="362">
        <f t="shared" si="189"/>
        <v>0</v>
      </c>
      <c r="BP109" s="362">
        <f t="shared" si="190"/>
        <v>1</v>
      </c>
      <c r="BQ109" s="362">
        <f t="shared" si="191"/>
        <v>8</v>
      </c>
    </row>
    <row r="110" spans="58:69" x14ac:dyDescent="0.25">
      <c r="BF110" s="601">
        <f t="shared" si="203"/>
        <v>1.6745406824146984</v>
      </c>
      <c r="BG110" s="601">
        <f t="shared" si="203"/>
        <v>1.1141732283464569</v>
      </c>
      <c r="BH110" s="601">
        <f t="shared" si="203"/>
        <v>6.5183727034120729</v>
      </c>
      <c r="BI110" s="601">
        <f t="shared" si="203"/>
        <v>7.4842519685039415</v>
      </c>
      <c r="BJ110" s="601">
        <f t="shared" si="203"/>
        <v>0</v>
      </c>
      <c r="BK110" s="601">
        <f t="shared" si="203"/>
        <v>0</v>
      </c>
      <c r="BL110" s="601">
        <f t="shared" si="203"/>
        <v>0</v>
      </c>
      <c r="BM110" s="601">
        <f t="shared" si="203"/>
        <v>0</v>
      </c>
      <c r="BN110" s="362">
        <f t="shared" si="188"/>
        <v>0</v>
      </c>
      <c r="BO110" s="362">
        <f t="shared" si="189"/>
        <v>0</v>
      </c>
      <c r="BP110" s="362">
        <f t="shared" si="190"/>
        <v>0</v>
      </c>
      <c r="BQ110" s="362">
        <f t="shared" si="191"/>
        <v>8</v>
      </c>
    </row>
    <row r="111" spans="58:69" x14ac:dyDescent="0.25">
      <c r="BF111" s="601" t="e">
        <f>IF(#REF!&lt;&gt;"",IF(#REF!&lt;0,1-MOD(#REF!,1),MOD(#REF!,1))*11,"")</f>
        <v>#REF!</v>
      </c>
      <c r="BG111" s="601" t="e">
        <f>IF(#REF!&lt;&gt;"",IF(#REF!&lt;0,1-MOD(#REF!,1),MOD(#REF!,1))*11,"")</f>
        <v>#REF!</v>
      </c>
      <c r="BH111" s="601" t="e">
        <f>IF(#REF!&lt;&gt;"",IF(#REF!&lt;0,1-MOD(#REF!,1),MOD(#REF!,1))*11,"")</f>
        <v>#REF!</v>
      </c>
      <c r="BI111" s="601" t="e">
        <f>IF(#REF!&lt;&gt;"",IF(#REF!&lt;0,1-MOD(#REF!,1),MOD(#REF!,1))*11,"")</f>
        <v>#REF!</v>
      </c>
      <c r="BJ111" s="601" t="e">
        <f>IF(#REF!&lt;&gt;"",IF(#REF!&lt;0,1-MOD(#REF!,1),MOD(#REF!,1))*11,"")</f>
        <v>#REF!</v>
      </c>
      <c r="BK111" s="601" t="e">
        <f>IF(#REF!&lt;&gt;"",IF(#REF!&lt;0,1-MOD(#REF!,1),MOD(#REF!,1))*11,"")</f>
        <v>#REF!</v>
      </c>
      <c r="BL111" s="601" t="e">
        <f>IF(#REF!&lt;&gt;"",IF(#REF!&lt;0,1-MOD(#REF!,1),MOD(#REF!,1))*11,"")</f>
        <v>#REF!</v>
      </c>
      <c r="BM111" s="601" t="e">
        <f>IF(#REF!&lt;&gt;"",IF(#REF!&lt;0,1-MOD(#REF!,1),MOD(#REF!,1))*11,"")</f>
        <v>#REF!</v>
      </c>
      <c r="BN111" s="362">
        <f t="shared" si="188"/>
        <v>0</v>
      </c>
      <c r="BO111" s="362">
        <f t="shared" si="189"/>
        <v>0</v>
      </c>
      <c r="BP111" s="362">
        <f t="shared" si="190"/>
        <v>0</v>
      </c>
      <c r="BQ111" s="362">
        <f t="shared" si="191"/>
        <v>0</v>
      </c>
    </row>
    <row r="112" spans="58:69" x14ac:dyDescent="0.25">
      <c r="BF112" s="601">
        <f t="shared" ref="BF112:BM113" si="204">IF(BF49&lt;&gt;"",IF(BF49&lt;0,1-MOD(BF49,1),MOD(BF49,1))*11,"")</f>
        <v>1.8438320209973758</v>
      </c>
      <c r="BG112" s="601">
        <f t="shared" si="204"/>
        <v>0.78083989501312345</v>
      </c>
      <c r="BH112" s="601">
        <f t="shared" si="204"/>
        <v>1.2637795275590546</v>
      </c>
      <c r="BI112" s="601">
        <f t="shared" si="204"/>
        <v>0</v>
      </c>
      <c r="BJ112" s="601">
        <f t="shared" si="204"/>
        <v>0</v>
      </c>
      <c r="BK112" s="601">
        <f t="shared" si="204"/>
        <v>0</v>
      </c>
      <c r="BL112" s="601">
        <f t="shared" si="204"/>
        <v>0</v>
      </c>
      <c r="BM112" s="601">
        <f t="shared" si="204"/>
        <v>0</v>
      </c>
      <c r="BN112" s="362">
        <f t="shared" si="188"/>
        <v>0</v>
      </c>
      <c r="BO112" s="362">
        <f t="shared" si="189"/>
        <v>0</v>
      </c>
      <c r="BP112" s="362">
        <f t="shared" si="190"/>
        <v>0</v>
      </c>
      <c r="BQ112" s="362">
        <f t="shared" si="191"/>
        <v>8</v>
      </c>
    </row>
    <row r="113" spans="58:69" x14ac:dyDescent="0.25">
      <c r="BF113" s="601">
        <f t="shared" si="204"/>
        <v>1.1824146981627297</v>
      </c>
      <c r="BG113" s="601">
        <f t="shared" si="204"/>
        <v>10.956692913385828</v>
      </c>
      <c r="BH113" s="601">
        <f t="shared" si="204"/>
        <v>4.2034120734908154</v>
      </c>
      <c r="BI113" s="601">
        <f t="shared" si="204"/>
        <v>5.1692913385826813</v>
      </c>
      <c r="BJ113" s="601">
        <f t="shared" si="204"/>
        <v>10.57349081364829</v>
      </c>
      <c r="BK113" s="601">
        <f t="shared" si="204"/>
        <v>0</v>
      </c>
      <c r="BL113" s="601">
        <f t="shared" si="204"/>
        <v>0</v>
      </c>
      <c r="BM113" s="601">
        <f t="shared" si="204"/>
        <v>0</v>
      </c>
      <c r="BN113" s="362">
        <f t="shared" si="188"/>
        <v>2</v>
      </c>
      <c r="BO113" s="362">
        <f t="shared" si="189"/>
        <v>2</v>
      </c>
      <c r="BP113" s="362">
        <f t="shared" si="190"/>
        <v>0</v>
      </c>
      <c r="BQ113" s="362">
        <f t="shared" si="191"/>
        <v>8</v>
      </c>
    </row>
    <row r="114" spans="58:69" x14ac:dyDescent="0.25">
      <c r="BF114" s="601" t="e">
        <f>IF(#REF!&lt;&gt;"",IF(#REF!&lt;0,1-MOD(#REF!,1),MOD(#REF!,1))*11,"")</f>
        <v>#REF!</v>
      </c>
      <c r="BG114" s="601" t="e">
        <f>IF(#REF!&lt;&gt;"",IF(#REF!&lt;0,1-MOD(#REF!,1),MOD(#REF!,1))*11,"")</f>
        <v>#REF!</v>
      </c>
      <c r="BH114" s="601" t="e">
        <f>IF(#REF!&lt;&gt;"",IF(#REF!&lt;0,1-MOD(#REF!,1),MOD(#REF!,1))*11,"")</f>
        <v>#REF!</v>
      </c>
      <c r="BI114" s="601" t="e">
        <f>IF(#REF!&lt;&gt;"",IF(#REF!&lt;0,1-MOD(#REF!,1),MOD(#REF!,1))*11,"")</f>
        <v>#REF!</v>
      </c>
      <c r="BJ114" s="601" t="e">
        <f>IF(#REF!&lt;&gt;"",IF(#REF!&lt;0,1-MOD(#REF!,1),MOD(#REF!,1))*11,"")</f>
        <v>#REF!</v>
      </c>
      <c r="BK114" s="601" t="e">
        <f>IF(#REF!&lt;&gt;"",IF(#REF!&lt;0,1-MOD(#REF!,1),MOD(#REF!,1))*11,"")</f>
        <v>#REF!</v>
      </c>
      <c r="BL114" s="601" t="e">
        <f>IF(#REF!&lt;&gt;"",IF(#REF!&lt;0,1-MOD(#REF!,1),MOD(#REF!,1))*11,"")</f>
        <v>#REF!</v>
      </c>
      <c r="BM114" s="601" t="e">
        <f>IF(#REF!&lt;&gt;"",IF(#REF!&lt;0,1-MOD(#REF!,1),MOD(#REF!,1))*11,"")</f>
        <v>#REF!</v>
      </c>
      <c r="BN114" s="362">
        <f t="shared" si="188"/>
        <v>0</v>
      </c>
      <c r="BO114" s="362">
        <f t="shared" si="189"/>
        <v>0</v>
      </c>
      <c r="BP114" s="362">
        <f t="shared" si="190"/>
        <v>0</v>
      </c>
      <c r="BQ114" s="362">
        <f t="shared" si="191"/>
        <v>0</v>
      </c>
    </row>
    <row r="115" spans="58:69" x14ac:dyDescent="0.25">
      <c r="BF115" s="601" t="e">
        <f>IF(#REF!&lt;&gt;"",IF(#REF!&lt;0,1-MOD(#REF!,1),MOD(#REF!,1))*11,"")</f>
        <v>#REF!</v>
      </c>
      <c r="BG115" s="601" t="e">
        <f>IF(#REF!&lt;&gt;"",IF(#REF!&lt;0,1-MOD(#REF!,1),MOD(#REF!,1))*11,"")</f>
        <v>#REF!</v>
      </c>
      <c r="BH115" s="601" t="e">
        <f>IF(#REF!&lt;&gt;"",IF(#REF!&lt;0,1-MOD(#REF!,1),MOD(#REF!,1))*11,"")</f>
        <v>#REF!</v>
      </c>
      <c r="BI115" s="601" t="e">
        <f>IF(#REF!&lt;&gt;"",IF(#REF!&lt;0,1-MOD(#REF!,1),MOD(#REF!,1))*11,"")</f>
        <v>#REF!</v>
      </c>
      <c r="BJ115" s="601" t="e">
        <f>IF(#REF!&lt;&gt;"",IF(#REF!&lt;0,1-MOD(#REF!,1),MOD(#REF!,1))*11,"")</f>
        <v>#REF!</v>
      </c>
      <c r="BK115" s="601" t="e">
        <f>IF(#REF!&lt;&gt;"",IF(#REF!&lt;0,1-MOD(#REF!,1),MOD(#REF!,1))*11,"")</f>
        <v>#REF!</v>
      </c>
      <c r="BL115" s="601" t="e">
        <f>IF(#REF!&lt;&gt;"",IF(#REF!&lt;0,1-MOD(#REF!,1),MOD(#REF!,1))*11,"")</f>
        <v>#REF!</v>
      </c>
      <c r="BM115" s="601" t="e">
        <f>IF(#REF!&lt;&gt;"",IF(#REF!&lt;0,1-MOD(#REF!,1),MOD(#REF!,1))*11,"")</f>
        <v>#REF!</v>
      </c>
      <c r="BN115" s="362">
        <f t="shared" si="188"/>
        <v>0</v>
      </c>
      <c r="BO115" s="362">
        <f t="shared" si="189"/>
        <v>0</v>
      </c>
      <c r="BP115" s="362">
        <f t="shared" si="190"/>
        <v>0</v>
      </c>
      <c r="BQ115" s="362">
        <f t="shared" si="191"/>
        <v>0</v>
      </c>
    </row>
    <row r="116" spans="58:69" x14ac:dyDescent="0.25">
      <c r="BF116" s="601"/>
      <c r="BG116" s="601"/>
      <c r="BH116" s="601"/>
      <c r="BI116" s="601"/>
      <c r="BJ116" s="601"/>
      <c r="BK116" s="601"/>
      <c r="BL116" s="601"/>
      <c r="BM116" s="601"/>
      <c r="BN116" s="362">
        <f>SUM(BN53:BN115)</f>
        <v>37</v>
      </c>
      <c r="BO116" s="362">
        <f t="shared" ref="BO116:BQ116" si="205">SUM(BO53:BO115)</f>
        <v>16</v>
      </c>
      <c r="BP116" s="362">
        <f t="shared" si="205"/>
        <v>21</v>
      </c>
      <c r="BQ116" s="362">
        <f t="shared" si="205"/>
        <v>368</v>
      </c>
    </row>
    <row r="117" spans="58:69" x14ac:dyDescent="0.25">
      <c r="BF117" s="601"/>
      <c r="BG117" s="601"/>
      <c r="BH117" s="601"/>
      <c r="BI117" s="601"/>
      <c r="BJ117" s="601"/>
      <c r="BK117" s="601"/>
      <c r="BL117" s="601"/>
      <c r="BM117" s="601"/>
    </row>
    <row r="118" spans="58:69" x14ac:dyDescent="0.25">
      <c r="BF118" s="601"/>
      <c r="BG118" s="601"/>
      <c r="BH118" s="601"/>
      <c r="BI118" s="601"/>
      <c r="BJ118" s="601"/>
      <c r="BK118" s="601"/>
      <c r="BL118" s="601"/>
      <c r="BM118" s="601"/>
    </row>
    <row r="119" spans="58:69" x14ac:dyDescent="0.25">
      <c r="BF119" s="601"/>
      <c r="BG119" s="601"/>
      <c r="BH119" s="601"/>
      <c r="BI119" s="601"/>
      <c r="BJ119" s="601"/>
      <c r="BK119" s="601"/>
      <c r="BL119" s="601"/>
      <c r="BM119" s="601"/>
    </row>
    <row r="120" spans="58:69" x14ac:dyDescent="0.25">
      <c r="BF120" s="601"/>
      <c r="BG120" s="601"/>
      <c r="BH120" s="601"/>
      <c r="BI120" s="601"/>
      <c r="BJ120" s="601"/>
      <c r="BK120" s="601"/>
      <c r="BL120" s="601"/>
      <c r="BM120" s="601"/>
    </row>
    <row r="121" spans="58:69" x14ac:dyDescent="0.25">
      <c r="BF121" s="601"/>
      <c r="BG121" s="601"/>
      <c r="BH121" s="601"/>
      <c r="BI121" s="601"/>
      <c r="BJ121" s="601"/>
      <c r="BK121" s="601"/>
      <c r="BL121" s="601"/>
      <c r="BM121" s="601"/>
    </row>
    <row r="122" spans="58:69" x14ac:dyDescent="0.25">
      <c r="BF122" s="601"/>
      <c r="BG122" s="601"/>
      <c r="BH122" s="601"/>
      <c r="BI122" s="601"/>
      <c r="BJ122" s="601"/>
      <c r="BK122" s="601"/>
      <c r="BL122" s="601"/>
      <c r="BM122" s="601"/>
    </row>
    <row r="123" spans="58:69" x14ac:dyDescent="0.25">
      <c r="BF123" s="601"/>
      <c r="BG123" s="601"/>
      <c r="BH123" s="601"/>
      <c r="BI123" s="601"/>
      <c r="BJ123" s="601"/>
      <c r="BK123" s="601"/>
      <c r="BL123" s="601"/>
      <c r="BM123" s="601"/>
    </row>
    <row r="124" spans="58:69" x14ac:dyDescent="0.25">
      <c r="BF124" s="601"/>
      <c r="BG124" s="601"/>
      <c r="BH124" s="601"/>
      <c r="BI124" s="601"/>
      <c r="BJ124" s="601"/>
      <c r="BK124" s="601"/>
      <c r="BL124" s="601"/>
      <c r="BM124" s="601"/>
    </row>
    <row r="125" spans="58:69" x14ac:dyDescent="0.25">
      <c r="BF125" s="601"/>
      <c r="BG125" s="601"/>
      <c r="BH125" s="601"/>
      <c r="BI125" s="601"/>
      <c r="BJ125" s="601"/>
      <c r="BK125" s="601"/>
      <c r="BL125" s="601"/>
      <c r="BM125" s="601"/>
    </row>
    <row r="126" spans="58:69" x14ac:dyDescent="0.25">
      <c r="BF126" s="601"/>
      <c r="BG126" s="601"/>
      <c r="BH126" s="601"/>
      <c r="BI126" s="601"/>
      <c r="BJ126" s="601"/>
      <c r="BK126" s="601"/>
      <c r="BL126" s="601"/>
      <c r="BM126" s="601"/>
    </row>
    <row r="127" spans="58:69" x14ac:dyDescent="0.25">
      <c r="BF127" s="601"/>
      <c r="BG127" s="601"/>
      <c r="BH127" s="601"/>
      <c r="BI127" s="601"/>
      <c r="BJ127" s="601"/>
      <c r="BK127" s="601"/>
      <c r="BL127" s="601"/>
      <c r="BM127" s="601"/>
    </row>
    <row r="128" spans="58:69" x14ac:dyDescent="0.25">
      <c r="BF128" s="601"/>
      <c r="BG128" s="601"/>
      <c r="BH128" s="601"/>
      <c r="BI128" s="601"/>
      <c r="BJ128" s="601"/>
      <c r="BK128" s="601"/>
      <c r="BL128" s="601"/>
      <c r="BM128" s="601"/>
    </row>
    <row r="129" spans="58:65" x14ac:dyDescent="0.25">
      <c r="BF129" s="601"/>
      <c r="BG129" s="601"/>
      <c r="BH129" s="601"/>
      <c r="BI129" s="601"/>
      <c r="BJ129" s="601"/>
      <c r="BK129" s="601"/>
      <c r="BL129" s="601"/>
      <c r="BM129" s="601"/>
    </row>
    <row r="130" spans="58:65" x14ac:dyDescent="0.25">
      <c r="BF130" s="601"/>
      <c r="BG130" s="601"/>
      <c r="BH130" s="601"/>
      <c r="BI130" s="601"/>
      <c r="BJ130" s="601"/>
      <c r="BK130" s="601"/>
      <c r="BL130" s="601"/>
      <c r="BM130" s="601"/>
    </row>
    <row r="131" spans="58:65" x14ac:dyDescent="0.25">
      <c r="BF131" s="601"/>
      <c r="BG131" s="601"/>
      <c r="BH131" s="601"/>
      <c r="BI131" s="601"/>
      <c r="BJ131" s="601"/>
      <c r="BK131" s="601"/>
      <c r="BL131" s="601"/>
      <c r="BM131" s="601"/>
    </row>
    <row r="132" spans="58:65" x14ac:dyDescent="0.25">
      <c r="BF132" s="601"/>
      <c r="BG132" s="601"/>
      <c r="BH132" s="601"/>
      <c r="BI132" s="601"/>
      <c r="BJ132" s="601"/>
      <c r="BK132" s="601"/>
      <c r="BL132" s="601"/>
      <c r="BM132" s="601"/>
    </row>
    <row r="133" spans="58:65" x14ac:dyDescent="0.25">
      <c r="BF133" s="601"/>
      <c r="BG133" s="601"/>
      <c r="BH133" s="601"/>
      <c r="BI133" s="601"/>
      <c r="BJ133" s="601"/>
      <c r="BK133" s="601"/>
      <c r="BL133" s="601"/>
      <c r="BM133" s="601"/>
    </row>
    <row r="134" spans="58:65" x14ac:dyDescent="0.25">
      <c r="BF134" s="601"/>
      <c r="BG134" s="601"/>
      <c r="BH134" s="601"/>
      <c r="BI134" s="601"/>
      <c r="BJ134" s="601"/>
      <c r="BK134" s="601"/>
      <c r="BL134" s="601"/>
      <c r="BM134" s="601"/>
    </row>
    <row r="135" spans="58:65" x14ac:dyDescent="0.25">
      <c r="BF135" s="601"/>
      <c r="BG135" s="601"/>
      <c r="BH135" s="601"/>
      <c r="BI135" s="601"/>
      <c r="BJ135" s="601"/>
      <c r="BK135" s="601"/>
      <c r="BL135" s="601"/>
      <c r="BM135" s="601"/>
    </row>
    <row r="136" spans="58:65" x14ac:dyDescent="0.25">
      <c r="BF136" s="601"/>
      <c r="BG136" s="601"/>
      <c r="BH136" s="601"/>
      <c r="BI136" s="601"/>
      <c r="BJ136" s="601"/>
      <c r="BK136" s="601"/>
      <c r="BL136" s="601"/>
      <c r="BM136" s="601"/>
    </row>
    <row r="137" spans="58:65" x14ac:dyDescent="0.25">
      <c r="BF137" s="601"/>
      <c r="BG137" s="601"/>
      <c r="BH137" s="601"/>
      <c r="BI137" s="601"/>
      <c r="BJ137" s="601"/>
      <c r="BK137" s="601"/>
      <c r="BL137" s="601"/>
      <c r="BM137" s="601"/>
    </row>
    <row r="138" spans="58:65" x14ac:dyDescent="0.25">
      <c r="BF138" s="601"/>
      <c r="BG138" s="601"/>
      <c r="BH138" s="601"/>
      <c r="BI138" s="601"/>
      <c r="BJ138" s="601"/>
      <c r="BK138" s="601"/>
      <c r="BL138" s="601"/>
      <c r="BM138" s="601"/>
    </row>
    <row r="139" spans="58:65" x14ac:dyDescent="0.25">
      <c r="BF139" s="601"/>
      <c r="BG139" s="601"/>
      <c r="BH139" s="601"/>
      <c r="BI139" s="601"/>
      <c r="BJ139" s="601"/>
      <c r="BK139" s="601"/>
      <c r="BL139" s="601"/>
      <c r="BM139" s="601"/>
    </row>
    <row r="140" spans="58:65" x14ac:dyDescent="0.25">
      <c r="BF140" s="601"/>
      <c r="BG140" s="601"/>
      <c r="BH140" s="601"/>
      <c r="BI140" s="601"/>
      <c r="BJ140" s="601"/>
      <c r="BK140" s="601"/>
      <c r="BL140" s="601"/>
      <c r="BM140" s="601"/>
    </row>
    <row r="141" spans="58:65" x14ac:dyDescent="0.25">
      <c r="BF141" s="601"/>
      <c r="BG141" s="601"/>
      <c r="BH141" s="601"/>
      <c r="BI141" s="601"/>
      <c r="BJ141" s="601"/>
      <c r="BK141" s="601"/>
      <c r="BL141" s="601"/>
      <c r="BM141" s="601"/>
    </row>
    <row r="142" spans="58:65" x14ac:dyDescent="0.25">
      <c r="BF142" s="601"/>
      <c r="BG142" s="601"/>
      <c r="BH142" s="601"/>
      <c r="BI142" s="601"/>
      <c r="BJ142" s="601"/>
      <c r="BK142" s="601"/>
      <c r="BL142" s="601"/>
      <c r="BM142" s="601"/>
    </row>
    <row r="143" spans="58:65" x14ac:dyDescent="0.25">
      <c r="BF143" s="601"/>
      <c r="BG143" s="601"/>
      <c r="BH143" s="601"/>
      <c r="BI143" s="601"/>
      <c r="BJ143" s="601"/>
      <c r="BK143" s="601"/>
      <c r="BL143" s="601"/>
      <c r="BM143" s="601"/>
    </row>
    <row r="144" spans="58:65" x14ac:dyDescent="0.25">
      <c r="BF144" s="601"/>
      <c r="BG144" s="601"/>
      <c r="BH144" s="601"/>
      <c r="BI144" s="601"/>
      <c r="BJ144" s="601"/>
      <c r="BK144" s="601"/>
      <c r="BL144" s="601"/>
      <c r="BM144" s="601"/>
    </row>
    <row r="145" spans="58:65" x14ac:dyDescent="0.25">
      <c r="BF145" s="601"/>
      <c r="BG145" s="601"/>
      <c r="BH145" s="601"/>
      <c r="BI145" s="601"/>
      <c r="BJ145" s="601"/>
      <c r="BK145" s="601"/>
      <c r="BL145" s="601"/>
      <c r="BM145" s="601"/>
    </row>
    <row r="146" spans="58:65" x14ac:dyDescent="0.25">
      <c r="BF146" s="601"/>
      <c r="BG146" s="601"/>
      <c r="BH146" s="601"/>
      <c r="BI146" s="601"/>
      <c r="BJ146" s="601"/>
      <c r="BK146" s="601"/>
      <c r="BL146" s="601"/>
      <c r="BM146" s="601"/>
    </row>
    <row r="147" spans="58:65" x14ac:dyDescent="0.25">
      <c r="BF147" s="601"/>
      <c r="BG147" s="601"/>
      <c r="BH147" s="601"/>
      <c r="BI147" s="601"/>
      <c r="BJ147" s="601"/>
      <c r="BK147" s="601"/>
      <c r="BL147" s="601"/>
      <c r="BM147" s="601"/>
    </row>
    <row r="148" spans="58:65" x14ac:dyDescent="0.25">
      <c r="BF148" s="601"/>
      <c r="BG148" s="601"/>
      <c r="BH148" s="601"/>
      <c r="BI148" s="601"/>
      <c r="BJ148" s="601"/>
      <c r="BK148" s="601"/>
      <c r="BL148" s="601"/>
      <c r="BM148" s="601"/>
    </row>
    <row r="149" spans="58:65" x14ac:dyDescent="0.25">
      <c r="BF149" s="601"/>
      <c r="BG149" s="601"/>
      <c r="BH149" s="601"/>
      <c r="BI149" s="601"/>
      <c r="BJ149" s="601"/>
      <c r="BK149" s="601"/>
      <c r="BL149" s="601"/>
      <c r="BM149" s="601"/>
    </row>
    <row r="150" spans="58:65" x14ac:dyDescent="0.25">
      <c r="BF150" s="601"/>
      <c r="BG150" s="601"/>
      <c r="BH150" s="601"/>
      <c r="BI150" s="601"/>
      <c r="BJ150" s="601"/>
      <c r="BK150" s="601"/>
      <c r="BL150" s="601"/>
      <c r="BM150" s="601"/>
    </row>
    <row r="151" spans="58:65" x14ac:dyDescent="0.25">
      <c r="BF151" s="601"/>
      <c r="BG151" s="601"/>
      <c r="BH151" s="601"/>
      <c r="BI151" s="601"/>
      <c r="BJ151" s="601"/>
      <c r="BK151" s="601"/>
      <c r="BL151" s="601"/>
      <c r="BM151" s="601"/>
    </row>
    <row r="152" spans="58:65" x14ac:dyDescent="0.25">
      <c r="BF152" s="601"/>
      <c r="BG152" s="601"/>
      <c r="BH152" s="601"/>
      <c r="BI152" s="601"/>
      <c r="BJ152" s="601"/>
      <c r="BK152" s="601"/>
      <c r="BL152" s="601"/>
      <c r="BM152" s="601"/>
    </row>
    <row r="153" spans="58:65" x14ac:dyDescent="0.25">
      <c r="BF153" s="601"/>
      <c r="BG153" s="601"/>
      <c r="BH153" s="601"/>
      <c r="BI153" s="601"/>
      <c r="BJ153" s="601"/>
      <c r="BK153" s="601"/>
      <c r="BL153" s="601"/>
      <c r="BM153" s="601"/>
    </row>
    <row r="154" spans="58:65" x14ac:dyDescent="0.25">
      <c r="BF154" s="601"/>
      <c r="BG154" s="601"/>
      <c r="BH154" s="601"/>
      <c r="BI154" s="601"/>
      <c r="BJ154" s="601"/>
      <c r="BK154" s="601"/>
      <c r="BL154" s="601"/>
      <c r="BM154" s="601"/>
    </row>
    <row r="155" spans="58:65" x14ac:dyDescent="0.25">
      <c r="BF155" s="601"/>
      <c r="BG155" s="601"/>
      <c r="BH155" s="601"/>
      <c r="BI155" s="601"/>
      <c r="BJ155" s="601"/>
      <c r="BK155" s="601"/>
      <c r="BL155" s="601"/>
      <c r="BM155" s="601"/>
    </row>
    <row r="156" spans="58:65" x14ac:dyDescent="0.25">
      <c r="BF156" s="601"/>
      <c r="BG156" s="601"/>
      <c r="BH156" s="601"/>
      <c r="BI156" s="601"/>
      <c r="BJ156" s="601"/>
      <c r="BK156" s="601"/>
      <c r="BL156" s="601"/>
      <c r="BM156" s="601"/>
    </row>
    <row r="157" spans="58:65" x14ac:dyDescent="0.25">
      <c r="BF157" s="601"/>
      <c r="BG157" s="601"/>
      <c r="BH157" s="601"/>
      <c r="BI157" s="601"/>
      <c r="BJ157" s="601"/>
      <c r="BK157" s="601"/>
      <c r="BL157" s="601"/>
      <c r="BM157" s="601"/>
    </row>
    <row r="158" spans="58:65" x14ac:dyDescent="0.25">
      <c r="BF158" s="601"/>
      <c r="BG158" s="601"/>
      <c r="BH158" s="601"/>
      <c r="BI158" s="601"/>
      <c r="BJ158" s="601"/>
      <c r="BK158" s="601"/>
      <c r="BL158" s="601"/>
      <c r="BM158" s="601"/>
    </row>
    <row r="159" spans="58:65" x14ac:dyDescent="0.25">
      <c r="BF159" s="601"/>
      <c r="BG159" s="601"/>
      <c r="BH159" s="601"/>
      <c r="BI159" s="601"/>
      <c r="BJ159" s="601"/>
      <c r="BK159" s="601"/>
      <c r="BL159" s="601"/>
      <c r="BM159" s="601"/>
    </row>
    <row r="160" spans="58:65" x14ac:dyDescent="0.25">
      <c r="BF160" s="601"/>
      <c r="BG160" s="601"/>
      <c r="BH160" s="601"/>
      <c r="BI160" s="601"/>
      <c r="BJ160" s="601"/>
      <c r="BK160" s="601"/>
      <c r="BL160" s="601"/>
      <c r="BM160" s="601"/>
    </row>
    <row r="161" spans="58:65" x14ac:dyDescent="0.25">
      <c r="BF161" s="601"/>
      <c r="BG161" s="601"/>
      <c r="BH161" s="601"/>
      <c r="BI161" s="601"/>
      <c r="BJ161" s="601"/>
      <c r="BK161" s="601"/>
      <c r="BL161" s="601"/>
      <c r="BM161" s="601"/>
    </row>
    <row r="162" spans="58:65" x14ac:dyDescent="0.25">
      <c r="BF162" s="601"/>
      <c r="BG162" s="601"/>
      <c r="BH162" s="601"/>
      <c r="BI162" s="601"/>
      <c r="BJ162" s="601"/>
      <c r="BK162" s="601"/>
      <c r="BL162" s="601"/>
      <c r="BM162" s="601"/>
    </row>
    <row r="163" spans="58:65" x14ac:dyDescent="0.25">
      <c r="BF163" s="601"/>
      <c r="BG163" s="601"/>
      <c r="BH163" s="601"/>
      <c r="BI163" s="601"/>
      <c r="BJ163" s="601"/>
      <c r="BK163" s="601"/>
      <c r="BL163" s="601"/>
      <c r="BM163" s="601"/>
    </row>
    <row r="164" spans="58:65" x14ac:dyDescent="0.25">
      <c r="BF164" s="601"/>
      <c r="BG164" s="601"/>
      <c r="BH164" s="601"/>
      <c r="BI164" s="601"/>
      <c r="BJ164" s="601"/>
      <c r="BK164" s="601"/>
      <c r="BL164" s="601"/>
      <c r="BM164" s="601"/>
    </row>
    <row r="165" spans="58:65" x14ac:dyDescent="0.25">
      <c r="BF165" s="601"/>
      <c r="BG165" s="601"/>
      <c r="BH165" s="601"/>
      <c r="BI165" s="601"/>
      <c r="BJ165" s="601"/>
      <c r="BK165" s="601"/>
      <c r="BL165" s="601"/>
      <c r="BM165" s="601"/>
    </row>
    <row r="166" spans="58:65" x14ac:dyDescent="0.25">
      <c r="BF166" s="601"/>
      <c r="BG166" s="601"/>
      <c r="BH166" s="601"/>
      <c r="BI166" s="601"/>
      <c r="BJ166" s="601"/>
      <c r="BK166" s="601"/>
      <c r="BL166" s="601"/>
      <c r="BM166" s="601"/>
    </row>
    <row r="167" spans="58:65" x14ac:dyDescent="0.25">
      <c r="BF167" s="601"/>
      <c r="BG167" s="601"/>
      <c r="BH167" s="601"/>
      <c r="BI167" s="601"/>
      <c r="BJ167" s="601"/>
      <c r="BK167" s="601"/>
      <c r="BL167" s="601"/>
      <c r="BM167" s="601"/>
    </row>
    <row r="168" spans="58:65" x14ac:dyDescent="0.25">
      <c r="BF168" s="601"/>
      <c r="BG168" s="601"/>
      <c r="BH168" s="601"/>
      <c r="BI168" s="601"/>
      <c r="BJ168" s="601"/>
      <c r="BK168" s="601"/>
      <c r="BL168" s="601"/>
      <c r="BM168" s="601"/>
    </row>
    <row r="169" spans="58:65" x14ac:dyDescent="0.25">
      <c r="BF169" s="601"/>
      <c r="BG169" s="601"/>
      <c r="BH169" s="601"/>
      <c r="BI169" s="601"/>
      <c r="BJ169" s="601"/>
      <c r="BK169" s="601"/>
      <c r="BL169" s="601"/>
      <c r="BM169" s="601"/>
    </row>
    <row r="170" spans="58:65" x14ac:dyDescent="0.25">
      <c r="BF170" s="601"/>
      <c r="BG170" s="601"/>
      <c r="BH170" s="601"/>
      <c r="BI170" s="601"/>
      <c r="BJ170" s="601"/>
      <c r="BK170" s="601"/>
      <c r="BL170" s="601"/>
      <c r="BM170" s="601"/>
    </row>
    <row r="171" spans="58:65" x14ac:dyDescent="0.25">
      <c r="BF171" s="601"/>
      <c r="BG171" s="601"/>
      <c r="BH171" s="601"/>
      <c r="BI171" s="601"/>
      <c r="BJ171" s="601"/>
      <c r="BK171" s="601"/>
      <c r="BL171" s="601"/>
      <c r="BM171" s="601"/>
    </row>
    <row r="172" spans="58:65" x14ac:dyDescent="0.25">
      <c r="BF172" s="601"/>
      <c r="BG172" s="601"/>
      <c r="BH172" s="601"/>
      <c r="BI172" s="601"/>
      <c r="BJ172" s="601"/>
      <c r="BK172" s="601"/>
      <c r="BL172" s="601"/>
      <c r="BM172" s="601"/>
    </row>
    <row r="173" spans="58:65" x14ac:dyDescent="0.25">
      <c r="BF173" s="601"/>
      <c r="BG173" s="601"/>
      <c r="BH173" s="601"/>
      <c r="BI173" s="601"/>
      <c r="BJ173" s="601"/>
      <c r="BK173" s="601"/>
      <c r="BL173" s="601"/>
      <c r="BM173" s="601"/>
    </row>
    <row r="174" spans="58:65" x14ac:dyDescent="0.25">
      <c r="BF174" s="601"/>
      <c r="BG174" s="601"/>
      <c r="BH174" s="601"/>
      <c r="BI174" s="601"/>
      <c r="BJ174" s="601"/>
      <c r="BK174" s="601"/>
      <c r="BL174" s="601"/>
      <c r="BM174" s="601"/>
    </row>
    <row r="175" spans="58:65" x14ac:dyDescent="0.25">
      <c r="BF175" s="601"/>
      <c r="BG175" s="601"/>
      <c r="BH175" s="601"/>
      <c r="BI175" s="601"/>
      <c r="BJ175" s="601"/>
      <c r="BK175" s="601"/>
      <c r="BL175" s="601"/>
      <c r="BM175" s="601"/>
    </row>
    <row r="176" spans="58:65" x14ac:dyDescent="0.25">
      <c r="BF176" s="601"/>
      <c r="BG176" s="601"/>
      <c r="BH176" s="601"/>
      <c r="BI176" s="601"/>
      <c r="BJ176" s="601"/>
      <c r="BK176" s="601"/>
      <c r="BL176" s="601"/>
      <c r="BM176" s="601"/>
    </row>
    <row r="177" spans="58:65" x14ac:dyDescent="0.25">
      <c r="BF177" s="601"/>
      <c r="BG177" s="601"/>
      <c r="BH177" s="601"/>
      <c r="BI177" s="601"/>
      <c r="BJ177" s="601"/>
      <c r="BK177" s="601"/>
      <c r="BL177" s="601"/>
      <c r="BM177" s="601"/>
    </row>
    <row r="178" spans="58:65" x14ac:dyDescent="0.25">
      <c r="BF178" s="601"/>
      <c r="BG178" s="601"/>
      <c r="BH178" s="601"/>
      <c r="BI178" s="601"/>
      <c r="BJ178" s="601"/>
      <c r="BK178" s="601"/>
      <c r="BL178" s="601"/>
      <c r="BM178" s="601"/>
    </row>
    <row r="179" spans="58:65" x14ac:dyDescent="0.25">
      <c r="BF179" s="601"/>
      <c r="BG179" s="601"/>
      <c r="BH179" s="601"/>
      <c r="BI179" s="601"/>
      <c r="BJ179" s="601"/>
      <c r="BK179" s="601"/>
      <c r="BL179" s="601"/>
      <c r="BM179" s="601"/>
    </row>
    <row r="180" spans="58:65" x14ac:dyDescent="0.25">
      <c r="BF180" s="601"/>
      <c r="BG180" s="601"/>
      <c r="BH180" s="601"/>
      <c r="BI180" s="601"/>
      <c r="BJ180" s="601"/>
      <c r="BK180" s="601"/>
      <c r="BL180" s="601"/>
      <c r="BM180" s="601"/>
    </row>
    <row r="181" spans="58:65" x14ac:dyDescent="0.25">
      <c r="BF181" s="601"/>
      <c r="BG181" s="601"/>
      <c r="BH181" s="601"/>
      <c r="BI181" s="601"/>
      <c r="BJ181" s="601"/>
      <c r="BK181" s="601"/>
      <c r="BL181" s="601"/>
      <c r="BM181" s="601"/>
    </row>
    <row r="182" spans="58:65" x14ac:dyDescent="0.25">
      <c r="BF182" s="601"/>
      <c r="BG182" s="601"/>
      <c r="BH182" s="601"/>
      <c r="BI182" s="601"/>
      <c r="BJ182" s="601"/>
      <c r="BK182" s="601"/>
      <c r="BL182" s="601"/>
      <c r="BM182" s="601"/>
    </row>
    <row r="183" spans="58:65" x14ac:dyDescent="0.25">
      <c r="BF183" s="601"/>
      <c r="BG183" s="601"/>
      <c r="BH183" s="601"/>
      <c r="BI183" s="601"/>
      <c r="BJ183" s="601"/>
      <c r="BK183" s="601"/>
      <c r="BL183" s="601"/>
      <c r="BM183" s="601"/>
    </row>
    <row r="184" spans="58:65" x14ac:dyDescent="0.25">
      <c r="BF184" s="601"/>
      <c r="BG184" s="601"/>
      <c r="BH184" s="601"/>
      <c r="BI184" s="601"/>
      <c r="BJ184" s="601"/>
      <c r="BK184" s="601"/>
      <c r="BL184" s="601"/>
      <c r="BM184" s="601"/>
    </row>
    <row r="185" spans="58:65" x14ac:dyDescent="0.25">
      <c r="BF185" s="601"/>
      <c r="BG185" s="601"/>
      <c r="BH185" s="601"/>
      <c r="BI185" s="601"/>
      <c r="BJ185" s="601"/>
      <c r="BK185" s="601"/>
      <c r="BL185" s="601"/>
      <c r="BM185" s="601"/>
    </row>
    <row r="186" spans="58:65" x14ac:dyDescent="0.25">
      <c r="BF186" s="601"/>
      <c r="BG186" s="601"/>
      <c r="BH186" s="601"/>
      <c r="BI186" s="601"/>
      <c r="BJ186" s="601"/>
      <c r="BK186" s="601"/>
      <c r="BL186" s="601"/>
      <c r="BM186" s="601"/>
    </row>
    <row r="187" spans="58:65" x14ac:dyDescent="0.25">
      <c r="BF187" s="601"/>
      <c r="BG187" s="601"/>
      <c r="BH187" s="601"/>
      <c r="BI187" s="601"/>
      <c r="BJ187" s="601"/>
      <c r="BK187" s="601"/>
      <c r="BL187" s="601"/>
      <c r="BM187" s="601"/>
    </row>
    <row r="188" spans="58:65" x14ac:dyDescent="0.25">
      <c r="BF188" s="601"/>
      <c r="BG188" s="601"/>
      <c r="BH188" s="601"/>
      <c r="BI188" s="601"/>
      <c r="BJ188" s="601"/>
      <c r="BK188" s="601"/>
      <c r="BL188" s="601"/>
      <c r="BM188" s="601"/>
    </row>
    <row r="189" spans="58:65" x14ac:dyDescent="0.25">
      <c r="BF189" s="601"/>
      <c r="BG189" s="601"/>
      <c r="BH189" s="601"/>
      <c r="BI189" s="601"/>
      <c r="BJ189" s="601"/>
      <c r="BK189" s="601"/>
      <c r="BL189" s="601"/>
      <c r="BM189" s="601"/>
    </row>
    <row r="190" spans="58:65" x14ac:dyDescent="0.25">
      <c r="BF190" s="601"/>
      <c r="BG190" s="601"/>
      <c r="BH190" s="601"/>
      <c r="BI190" s="601"/>
      <c r="BJ190" s="601"/>
      <c r="BK190" s="601"/>
      <c r="BL190" s="601"/>
      <c r="BM190" s="601"/>
    </row>
    <row r="191" spans="58:65" x14ac:dyDescent="0.25">
      <c r="BF191" s="601"/>
      <c r="BG191" s="601"/>
      <c r="BH191" s="601"/>
      <c r="BI191" s="601"/>
      <c r="BJ191" s="601"/>
      <c r="BK191" s="601"/>
      <c r="BL191" s="601"/>
      <c r="BM191" s="601"/>
    </row>
    <row r="192" spans="58:65" x14ac:dyDescent="0.25">
      <c r="BF192" s="601"/>
      <c r="BG192" s="601"/>
      <c r="BH192" s="601"/>
      <c r="BI192" s="601"/>
      <c r="BJ192" s="601"/>
      <c r="BK192" s="601"/>
      <c r="BL192" s="601"/>
      <c r="BM192" s="601"/>
    </row>
    <row r="193" spans="58:65" x14ac:dyDescent="0.25">
      <c r="BF193" s="601"/>
      <c r="BG193" s="601"/>
      <c r="BH193" s="601"/>
      <c r="BI193" s="601"/>
      <c r="BJ193" s="601"/>
      <c r="BK193" s="601"/>
      <c r="BL193" s="601"/>
      <c r="BM193" s="601"/>
    </row>
    <row r="194" spans="58:65" x14ac:dyDescent="0.25">
      <c r="BF194" s="601"/>
      <c r="BG194" s="601"/>
      <c r="BH194" s="601"/>
      <c r="BI194" s="601"/>
      <c r="BJ194" s="601"/>
      <c r="BK194" s="601"/>
      <c r="BL194" s="601"/>
      <c r="BM194" s="601"/>
    </row>
    <row r="195" spans="58:65" x14ac:dyDescent="0.25">
      <c r="BF195" s="601"/>
      <c r="BG195" s="601"/>
      <c r="BH195" s="601"/>
      <c r="BI195" s="601"/>
      <c r="BJ195" s="601"/>
      <c r="BK195" s="601"/>
      <c r="BL195" s="601"/>
      <c r="BM195" s="601"/>
    </row>
    <row r="196" spans="58:65" x14ac:dyDescent="0.25">
      <c r="BF196" s="601"/>
      <c r="BG196" s="601"/>
      <c r="BH196" s="601"/>
      <c r="BI196" s="601"/>
      <c r="BJ196" s="601"/>
      <c r="BK196" s="601"/>
      <c r="BL196" s="601"/>
      <c r="BM196" s="601"/>
    </row>
    <row r="197" spans="58:65" x14ac:dyDescent="0.25">
      <c r="BF197" s="601"/>
      <c r="BG197" s="601"/>
      <c r="BH197" s="601"/>
      <c r="BI197" s="601"/>
      <c r="BJ197" s="601"/>
      <c r="BK197" s="601"/>
      <c r="BL197" s="601"/>
      <c r="BM197" s="601"/>
    </row>
    <row r="198" spans="58:65" x14ac:dyDescent="0.25">
      <c r="BF198" s="601"/>
      <c r="BG198" s="601"/>
      <c r="BH198" s="601"/>
      <c r="BI198" s="601"/>
      <c r="BJ198" s="601"/>
      <c r="BK198" s="601"/>
      <c r="BL198" s="601"/>
      <c r="BM198" s="601"/>
    </row>
    <row r="199" spans="58:65" x14ac:dyDescent="0.25">
      <c r="BF199" s="601"/>
      <c r="BG199" s="601"/>
      <c r="BH199" s="601"/>
      <c r="BI199" s="601"/>
      <c r="BJ199" s="601"/>
      <c r="BK199" s="601"/>
      <c r="BL199" s="601"/>
      <c r="BM199" s="601"/>
    </row>
    <row r="200" spans="58:65" x14ac:dyDescent="0.25">
      <c r="BF200" s="601"/>
      <c r="BG200" s="601"/>
      <c r="BH200" s="601"/>
      <c r="BI200" s="601"/>
      <c r="BJ200" s="601"/>
      <c r="BK200" s="601"/>
      <c r="BL200" s="601"/>
      <c r="BM200" s="601"/>
    </row>
    <row r="201" spans="58:65" x14ac:dyDescent="0.25">
      <c r="BF201" s="601"/>
      <c r="BG201" s="601"/>
      <c r="BH201" s="601"/>
      <c r="BI201" s="601"/>
      <c r="BJ201" s="601"/>
      <c r="BK201" s="601"/>
      <c r="BL201" s="601"/>
      <c r="BM201" s="601"/>
    </row>
    <row r="202" spans="58:65" x14ac:dyDescent="0.25">
      <c r="BF202" s="601"/>
      <c r="BG202" s="601"/>
      <c r="BH202" s="601"/>
      <c r="BI202" s="601"/>
      <c r="BJ202" s="601"/>
      <c r="BK202" s="601"/>
      <c r="BL202" s="601"/>
      <c r="BM202" s="601"/>
    </row>
    <row r="203" spans="58:65" x14ac:dyDescent="0.25">
      <c r="BF203" s="601"/>
      <c r="BG203" s="601"/>
      <c r="BH203" s="601"/>
      <c r="BI203" s="601"/>
      <c r="BJ203" s="601"/>
      <c r="BK203" s="601"/>
      <c r="BL203" s="601"/>
      <c r="BM203" s="601"/>
    </row>
    <row r="204" spans="58:65" x14ac:dyDescent="0.25">
      <c r="BF204" s="601"/>
      <c r="BG204" s="601"/>
      <c r="BH204" s="601"/>
      <c r="BI204" s="601"/>
      <c r="BJ204" s="601"/>
      <c r="BK204" s="601"/>
      <c r="BL204" s="601"/>
      <c r="BM204" s="601"/>
    </row>
    <row r="205" spans="58:65" x14ac:dyDescent="0.25">
      <c r="BF205" s="601"/>
      <c r="BG205" s="601"/>
      <c r="BH205" s="601"/>
      <c r="BI205" s="601"/>
      <c r="BJ205" s="601"/>
      <c r="BK205" s="601"/>
      <c r="BL205" s="601"/>
      <c r="BM205" s="601"/>
    </row>
    <row r="206" spans="58:65" x14ac:dyDescent="0.25">
      <c r="BF206" s="601"/>
      <c r="BG206" s="601"/>
      <c r="BH206" s="601"/>
      <c r="BI206" s="601"/>
      <c r="BJ206" s="601"/>
      <c r="BK206" s="601"/>
      <c r="BL206" s="601"/>
      <c r="BM206" s="601"/>
    </row>
    <row r="207" spans="58:65" x14ac:dyDescent="0.25">
      <c r="BF207" s="601"/>
      <c r="BG207" s="601"/>
      <c r="BH207" s="601"/>
      <c r="BI207" s="601"/>
      <c r="BJ207" s="601"/>
      <c r="BK207" s="601"/>
      <c r="BL207" s="601"/>
      <c r="BM207" s="601"/>
    </row>
    <row r="208" spans="58:65" x14ac:dyDescent="0.25">
      <c r="BF208" s="601"/>
      <c r="BG208" s="601"/>
      <c r="BH208" s="601"/>
      <c r="BI208" s="601"/>
      <c r="BJ208" s="601"/>
      <c r="BK208" s="601"/>
      <c r="BL208" s="601"/>
      <c r="BM208" s="601"/>
    </row>
    <row r="209" spans="58:65" x14ac:dyDescent="0.25">
      <c r="BF209" s="601"/>
      <c r="BG209" s="601"/>
      <c r="BH209" s="601"/>
      <c r="BI209" s="601"/>
      <c r="BJ209" s="601"/>
      <c r="BK209" s="601"/>
      <c r="BL209" s="601"/>
      <c r="BM209" s="601"/>
    </row>
    <row r="210" spans="58:65" x14ac:dyDescent="0.25">
      <c r="BF210" s="601"/>
      <c r="BG210" s="601"/>
      <c r="BH210" s="601"/>
      <c r="BI210" s="601"/>
      <c r="BJ210" s="601"/>
      <c r="BK210" s="601"/>
      <c r="BL210" s="601"/>
      <c r="BM210" s="601"/>
    </row>
    <row r="211" spans="58:65" x14ac:dyDescent="0.25">
      <c r="BF211" s="601"/>
      <c r="BG211" s="601"/>
      <c r="BH211" s="601"/>
      <c r="BI211" s="601"/>
      <c r="BJ211" s="601"/>
      <c r="BK211" s="601"/>
      <c r="BL211" s="601"/>
      <c r="BM211" s="601"/>
    </row>
    <row r="212" spans="58:65" x14ac:dyDescent="0.25">
      <c r="BF212" s="601"/>
      <c r="BG212" s="601"/>
      <c r="BH212" s="601"/>
      <c r="BI212" s="601"/>
      <c r="BJ212" s="601"/>
      <c r="BK212" s="601"/>
      <c r="BL212" s="601"/>
      <c r="BM212" s="601"/>
    </row>
    <row r="213" spans="58:65" x14ac:dyDescent="0.25">
      <c r="BF213" s="601"/>
      <c r="BG213" s="601"/>
      <c r="BH213" s="601"/>
      <c r="BI213" s="601"/>
      <c r="BJ213" s="601"/>
      <c r="BK213" s="601"/>
      <c r="BL213" s="601"/>
      <c r="BM213" s="601"/>
    </row>
    <row r="214" spans="58:65" x14ac:dyDescent="0.25">
      <c r="BF214" s="601"/>
      <c r="BG214" s="601"/>
      <c r="BH214" s="601"/>
      <c r="BI214" s="601"/>
      <c r="BJ214" s="601"/>
      <c r="BK214" s="601"/>
      <c r="BL214" s="601"/>
      <c r="BM214" s="601"/>
    </row>
    <row r="215" spans="58:65" x14ac:dyDescent="0.25">
      <c r="BF215" s="601"/>
      <c r="BG215" s="601"/>
      <c r="BH215" s="601"/>
      <c r="BI215" s="601"/>
      <c r="BJ215" s="601"/>
      <c r="BK215" s="601"/>
      <c r="BL215" s="601"/>
      <c r="BM215" s="601"/>
    </row>
    <row r="216" spans="58:65" x14ac:dyDescent="0.25">
      <c r="BF216" s="601"/>
      <c r="BG216" s="601"/>
      <c r="BH216" s="601"/>
      <c r="BI216" s="601"/>
      <c r="BJ216" s="601"/>
      <c r="BK216" s="601"/>
      <c r="BL216" s="601"/>
      <c r="BM216" s="601"/>
    </row>
    <row r="217" spans="58:65" x14ac:dyDescent="0.25">
      <c r="BF217" s="601"/>
      <c r="BG217" s="601"/>
      <c r="BH217" s="601"/>
      <c r="BI217" s="601"/>
      <c r="BJ217" s="601"/>
      <c r="BK217" s="601"/>
      <c r="BL217" s="601"/>
      <c r="BM217" s="601"/>
    </row>
    <row r="218" spans="58:65" x14ac:dyDescent="0.25">
      <c r="BF218" s="601"/>
      <c r="BG218" s="601"/>
      <c r="BH218" s="601"/>
      <c r="BI218" s="601"/>
      <c r="BJ218" s="601"/>
      <c r="BK218" s="601"/>
      <c r="BL218" s="601"/>
      <c r="BM218" s="601"/>
    </row>
    <row r="219" spans="58:65" x14ac:dyDescent="0.25">
      <c r="BF219" s="601"/>
      <c r="BG219" s="601"/>
      <c r="BH219" s="601"/>
      <c r="BI219" s="601"/>
      <c r="BJ219" s="601"/>
      <c r="BK219" s="601"/>
      <c r="BL219" s="601"/>
      <c r="BM219" s="601"/>
    </row>
    <row r="220" spans="58:65" x14ac:dyDescent="0.25">
      <c r="BF220" s="601"/>
      <c r="BG220" s="601"/>
      <c r="BH220" s="601"/>
      <c r="BI220" s="601"/>
      <c r="BJ220" s="601"/>
      <c r="BK220" s="601"/>
      <c r="BL220" s="601"/>
      <c r="BM220" s="601"/>
    </row>
    <row r="221" spans="58:65" x14ac:dyDescent="0.25">
      <c r="BF221" s="601"/>
      <c r="BG221" s="601"/>
      <c r="BH221" s="601"/>
      <c r="BI221" s="601"/>
      <c r="BJ221" s="601"/>
      <c r="BK221" s="601"/>
      <c r="BL221" s="601"/>
      <c r="BM221" s="601"/>
    </row>
    <row r="222" spans="58:65" x14ac:dyDescent="0.25">
      <c r="BF222" s="601"/>
      <c r="BG222" s="601"/>
      <c r="BH222" s="601"/>
      <c r="BI222" s="601"/>
      <c r="BJ222" s="601"/>
      <c r="BK222" s="601"/>
      <c r="BL222" s="601"/>
      <c r="BM222" s="601"/>
    </row>
    <row r="223" spans="58:65" x14ac:dyDescent="0.25">
      <c r="BF223" s="601"/>
      <c r="BG223" s="601"/>
      <c r="BH223" s="601"/>
      <c r="BI223" s="601"/>
      <c r="BJ223" s="601"/>
      <c r="BK223" s="601"/>
      <c r="BL223" s="601"/>
      <c r="BM223" s="601"/>
    </row>
    <row r="224" spans="58:65" x14ac:dyDescent="0.25">
      <c r="BF224" s="601"/>
      <c r="BG224" s="601"/>
      <c r="BH224" s="601"/>
      <c r="BI224" s="601"/>
      <c r="BJ224" s="601"/>
      <c r="BK224" s="601"/>
      <c r="BL224" s="601"/>
      <c r="BM224" s="601"/>
    </row>
    <row r="225" spans="58:65" x14ac:dyDescent="0.25">
      <c r="BF225" s="601"/>
      <c r="BG225" s="601"/>
      <c r="BH225" s="601"/>
      <c r="BI225" s="601"/>
      <c r="BJ225" s="601"/>
      <c r="BK225" s="601"/>
      <c r="BL225" s="601"/>
      <c r="BM225" s="601"/>
    </row>
    <row r="226" spans="58:65" x14ac:dyDescent="0.25">
      <c r="BF226" s="601"/>
      <c r="BG226" s="601"/>
      <c r="BH226" s="601"/>
      <c r="BI226" s="601"/>
      <c r="BJ226" s="601"/>
      <c r="BK226" s="601"/>
      <c r="BL226" s="601"/>
      <c r="BM226" s="601"/>
    </row>
    <row r="227" spans="58:65" x14ac:dyDescent="0.25">
      <c r="BF227" s="601"/>
      <c r="BG227" s="601"/>
      <c r="BH227" s="601"/>
      <c r="BI227" s="601"/>
      <c r="BJ227" s="601"/>
      <c r="BK227" s="601"/>
      <c r="BL227" s="601"/>
      <c r="BM227" s="601"/>
    </row>
    <row r="228" spans="58:65" x14ac:dyDescent="0.25">
      <c r="BF228" s="601"/>
      <c r="BG228" s="601"/>
      <c r="BH228" s="601"/>
      <c r="BI228" s="601"/>
      <c r="BJ228" s="601"/>
      <c r="BK228" s="601"/>
      <c r="BL228" s="601"/>
      <c r="BM228" s="601"/>
    </row>
    <row r="229" spans="58:65" x14ac:dyDescent="0.25">
      <c r="BF229" s="601"/>
      <c r="BG229" s="601"/>
      <c r="BH229" s="601"/>
      <c r="BI229" s="601"/>
      <c r="BJ229" s="601"/>
      <c r="BK229" s="601"/>
      <c r="BL229" s="601"/>
      <c r="BM229" s="601"/>
    </row>
    <row r="230" spans="58:65" x14ac:dyDescent="0.25">
      <c r="BF230" s="601"/>
      <c r="BG230" s="601"/>
      <c r="BH230" s="601"/>
      <c r="BI230" s="601"/>
      <c r="BJ230" s="601"/>
      <c r="BK230" s="601"/>
      <c r="BL230" s="601"/>
      <c r="BM230" s="601"/>
    </row>
    <row r="231" spans="58:65" x14ac:dyDescent="0.25">
      <c r="BF231" s="601"/>
      <c r="BG231" s="601"/>
      <c r="BH231" s="601"/>
      <c r="BI231" s="601"/>
      <c r="BJ231" s="601"/>
      <c r="BK231" s="601"/>
      <c r="BL231" s="601"/>
      <c r="BM231" s="601"/>
    </row>
    <row r="232" spans="58:65" x14ac:dyDescent="0.25">
      <c r="BF232" s="601"/>
      <c r="BG232" s="601"/>
      <c r="BH232" s="601"/>
      <c r="BI232" s="601"/>
      <c r="BJ232" s="601"/>
      <c r="BK232" s="601"/>
      <c r="BL232" s="601"/>
      <c r="BM232" s="601"/>
    </row>
    <row r="233" spans="58:65" x14ac:dyDescent="0.25">
      <c r="BF233" s="601"/>
      <c r="BG233" s="601"/>
      <c r="BH233" s="601"/>
      <c r="BI233" s="601"/>
      <c r="BJ233" s="601"/>
      <c r="BK233" s="601"/>
      <c r="BL233" s="601"/>
      <c r="BM233" s="601"/>
    </row>
    <row r="234" spans="58:65" x14ac:dyDescent="0.25">
      <c r="BF234" s="601"/>
      <c r="BG234" s="601"/>
      <c r="BH234" s="601"/>
      <c r="BI234" s="601"/>
      <c r="BJ234" s="601"/>
      <c r="BK234" s="601"/>
      <c r="BL234" s="601"/>
      <c r="BM234" s="601"/>
    </row>
    <row r="235" spans="58:65" x14ac:dyDescent="0.25">
      <c r="BF235" s="601"/>
      <c r="BG235" s="601"/>
      <c r="BH235" s="601"/>
      <c r="BI235" s="601"/>
      <c r="BJ235" s="601"/>
      <c r="BK235" s="601"/>
      <c r="BL235" s="601"/>
      <c r="BM235" s="601"/>
    </row>
    <row r="236" spans="58:65" x14ac:dyDescent="0.25">
      <c r="BF236" s="601"/>
      <c r="BG236" s="601"/>
      <c r="BH236" s="601"/>
      <c r="BI236" s="601"/>
      <c r="BJ236" s="601"/>
      <c r="BK236" s="601"/>
      <c r="BL236" s="601"/>
      <c r="BM236" s="601"/>
    </row>
    <row r="237" spans="58:65" x14ac:dyDescent="0.25">
      <c r="BF237" s="601"/>
      <c r="BG237" s="601"/>
      <c r="BH237" s="601"/>
      <c r="BI237" s="601"/>
      <c r="BJ237" s="601"/>
      <c r="BK237" s="601"/>
      <c r="BL237" s="601"/>
      <c r="BM237" s="601"/>
    </row>
    <row r="238" spans="58:65" x14ac:dyDescent="0.25">
      <c r="BF238" s="601"/>
      <c r="BG238" s="601"/>
      <c r="BH238" s="601"/>
      <c r="BI238" s="601"/>
      <c r="BJ238" s="601"/>
      <c r="BK238" s="601"/>
      <c r="BL238" s="601"/>
      <c r="BM238" s="601"/>
    </row>
    <row r="239" spans="58:65" x14ac:dyDescent="0.25">
      <c r="BF239" s="601"/>
      <c r="BG239" s="601"/>
      <c r="BH239" s="601"/>
      <c r="BI239" s="601"/>
      <c r="BJ239" s="601"/>
      <c r="BK239" s="601"/>
      <c r="BL239" s="601"/>
      <c r="BM239" s="601"/>
    </row>
    <row r="240" spans="58:65" x14ac:dyDescent="0.25">
      <c r="BF240" s="601"/>
      <c r="BG240" s="601"/>
      <c r="BH240" s="601"/>
      <c r="BI240" s="601"/>
      <c r="BJ240" s="601"/>
      <c r="BK240" s="601"/>
      <c r="BL240" s="601"/>
      <c r="BM240" s="601"/>
    </row>
    <row r="241" spans="58:65" x14ac:dyDescent="0.25">
      <c r="BF241" s="601"/>
      <c r="BG241" s="601"/>
      <c r="BH241" s="601"/>
      <c r="BI241" s="601"/>
      <c r="BJ241" s="601"/>
      <c r="BK241" s="601"/>
      <c r="BL241" s="601"/>
      <c r="BM241" s="601"/>
    </row>
    <row r="242" spans="58:65" x14ac:dyDescent="0.25">
      <c r="BF242" s="601"/>
      <c r="BG242" s="601"/>
      <c r="BH242" s="601"/>
      <c r="BI242" s="601"/>
      <c r="BJ242" s="601"/>
      <c r="BK242" s="601"/>
      <c r="BL242" s="601"/>
      <c r="BM242" s="601"/>
    </row>
    <row r="243" spans="58:65" x14ac:dyDescent="0.25">
      <c r="BF243" s="601"/>
      <c r="BG243" s="601"/>
      <c r="BH243" s="601"/>
      <c r="BI243" s="601"/>
      <c r="BJ243" s="601"/>
      <c r="BK243" s="601"/>
      <c r="BL243" s="601"/>
      <c r="BM243" s="601"/>
    </row>
    <row r="244" spans="58:65" x14ac:dyDescent="0.25">
      <c r="BF244" s="601"/>
      <c r="BG244" s="601"/>
      <c r="BH244" s="601"/>
      <c r="BI244" s="601"/>
      <c r="BJ244" s="601"/>
      <c r="BK244" s="601"/>
      <c r="BL244" s="601"/>
      <c r="BM244" s="601"/>
    </row>
    <row r="245" spans="58:65" x14ac:dyDescent="0.25">
      <c r="BF245" s="601"/>
      <c r="BG245" s="601"/>
      <c r="BH245" s="601"/>
      <c r="BI245" s="601"/>
      <c r="BJ245" s="601"/>
      <c r="BK245" s="601"/>
      <c r="BL245" s="601"/>
      <c r="BM245" s="601"/>
    </row>
    <row r="246" spans="58:65" x14ac:dyDescent="0.25">
      <c r="BF246" s="601"/>
      <c r="BG246" s="601"/>
      <c r="BH246" s="601"/>
      <c r="BI246" s="601"/>
      <c r="BJ246" s="601"/>
      <c r="BK246" s="601"/>
      <c r="BL246" s="601"/>
      <c r="BM246" s="601"/>
    </row>
    <row r="247" spans="58:65" x14ac:dyDescent="0.25">
      <c r="BF247" s="601"/>
      <c r="BG247" s="601"/>
      <c r="BH247" s="601"/>
      <c r="BI247" s="601"/>
      <c r="BJ247" s="601"/>
      <c r="BK247" s="601"/>
      <c r="BL247" s="601"/>
      <c r="BM247" s="601"/>
    </row>
    <row r="248" spans="58:65" x14ac:dyDescent="0.25">
      <c r="BF248" s="601"/>
      <c r="BG248" s="601"/>
      <c r="BH248" s="601"/>
      <c r="BI248" s="601"/>
      <c r="BJ248" s="601"/>
      <c r="BK248" s="601"/>
      <c r="BL248" s="601"/>
      <c r="BM248" s="601"/>
    </row>
    <row r="249" spans="58:65" x14ac:dyDescent="0.25">
      <c r="BF249" s="601"/>
      <c r="BG249" s="601"/>
      <c r="BH249" s="601"/>
      <c r="BI249" s="601"/>
      <c r="BJ249" s="601"/>
      <c r="BK249" s="601"/>
      <c r="BL249" s="601"/>
      <c r="BM249" s="601"/>
    </row>
    <row r="250" spans="58:65" x14ac:dyDescent="0.25">
      <c r="BF250" s="601"/>
      <c r="BG250" s="601"/>
      <c r="BH250" s="601"/>
      <c r="BI250" s="601"/>
      <c r="BJ250" s="601"/>
      <c r="BK250" s="601"/>
      <c r="BL250" s="601"/>
      <c r="BM250" s="601"/>
    </row>
    <row r="251" spans="58:65" x14ac:dyDescent="0.25">
      <c r="BF251" s="601"/>
      <c r="BG251" s="601"/>
      <c r="BH251" s="601"/>
      <c r="BI251" s="601"/>
      <c r="BJ251" s="601"/>
      <c r="BK251" s="601"/>
      <c r="BL251" s="601"/>
      <c r="BM251" s="601"/>
    </row>
    <row r="252" spans="58:65" x14ac:dyDescent="0.25">
      <c r="BF252" s="601"/>
      <c r="BG252" s="601"/>
      <c r="BH252" s="601"/>
      <c r="BI252" s="601"/>
      <c r="BJ252" s="601"/>
      <c r="BK252" s="601"/>
      <c r="BL252" s="601"/>
      <c r="BM252" s="601"/>
    </row>
    <row r="253" spans="58:65" x14ac:dyDescent="0.25">
      <c r="BF253" s="601"/>
      <c r="BG253" s="601"/>
      <c r="BH253" s="601"/>
      <c r="BI253" s="601"/>
      <c r="BJ253" s="601"/>
      <c r="BK253" s="601"/>
      <c r="BL253" s="601"/>
      <c r="BM253" s="601"/>
    </row>
    <row r="254" spans="58:65" x14ac:dyDescent="0.25">
      <c r="BF254" s="601"/>
      <c r="BG254" s="601"/>
      <c r="BH254" s="601"/>
      <c r="BI254" s="601"/>
      <c r="BJ254" s="601"/>
      <c r="BK254" s="601"/>
      <c r="BL254" s="601"/>
      <c r="BM254" s="601"/>
    </row>
    <row r="255" spans="58:65" x14ac:dyDescent="0.25">
      <c r="BF255" s="601"/>
      <c r="BG255" s="601"/>
      <c r="BH255" s="601"/>
      <c r="BI255" s="601"/>
      <c r="BJ255" s="601"/>
      <c r="BK255" s="601"/>
      <c r="BL255" s="601"/>
      <c r="BM255" s="601"/>
    </row>
  </sheetData>
  <autoFilter ref="A3:FV116"/>
  <mergeCells count="12">
    <mergeCell ref="DZ2:EG2"/>
    <mergeCell ref="EP1:ET1"/>
    <mergeCell ref="EP2:ET2"/>
    <mergeCell ref="A2:D2"/>
    <mergeCell ref="CG2:CX2"/>
    <mergeCell ref="AL2:AO2"/>
    <mergeCell ref="E2:N2"/>
    <mergeCell ref="BF2:BM2"/>
    <mergeCell ref="O2:AK2"/>
    <mergeCell ref="BN2:CF2"/>
    <mergeCell ref="AP2:AW2"/>
    <mergeCell ref="AX2:BE2"/>
  </mergeCells>
  <conditionalFormatting sqref="G4:N50">
    <cfRule type="containsBlanks" dxfId="76" priority="56">
      <formula>LEN(TRIM(G4))=0</formula>
    </cfRule>
  </conditionalFormatting>
  <conditionalFormatting sqref="CG4:CX50">
    <cfRule type="containsBlanks" dxfId="75" priority="57">
      <formula>LEN(TRIM(CG4))=0</formula>
    </cfRule>
  </conditionalFormatting>
  <conditionalFormatting sqref="CY4:DG50">
    <cfRule type="cellIs" dxfId="74" priority="54" operator="greaterThan">
      <formula>0</formula>
    </cfRule>
  </conditionalFormatting>
  <conditionalFormatting sqref="BF53:BM115">
    <cfRule type="expression" dxfId="73" priority="45">
      <formula>BF53&gt;10</formula>
    </cfRule>
    <cfRule type="expression" dxfId="72" priority="46">
      <formula>BF53&gt;8</formula>
    </cfRule>
  </conditionalFormatting>
  <conditionalFormatting sqref="T4:AK50">
    <cfRule type="expression" dxfId="71" priority="42">
      <formula>BN4=3</formula>
    </cfRule>
    <cfRule type="expression" dxfId="70" priority="43">
      <formula>BN4=2</formula>
    </cfRule>
    <cfRule type="expression" dxfId="69" priority="44">
      <formula>BN4=1</formula>
    </cfRule>
    <cfRule type="expression" dxfId="68" priority="47">
      <formula>T4=""</formula>
    </cfRule>
    <cfRule type="expression" dxfId="67" priority="49">
      <formula>T4="Standard"</formula>
    </cfRule>
    <cfRule type="expression" dxfId="66" priority="50">
      <formula>T4="Heavy"</formula>
    </cfRule>
    <cfRule type="expression" dxfId="65" priority="52">
      <formula>T4="Extreme"</formula>
    </cfRule>
  </conditionalFormatting>
  <conditionalFormatting sqref="DI4:DJ50">
    <cfRule type="expression" dxfId="64" priority="41">
      <formula>DI4=FALSE</formula>
    </cfRule>
  </conditionalFormatting>
  <conditionalFormatting sqref="BF4:DM51 A4:AO51">
    <cfRule type="expression" dxfId="63" priority="2552" stopIfTrue="1">
      <formula>ISBLANK($P4)</formula>
    </cfRule>
  </conditionalFormatting>
  <conditionalFormatting sqref="G51:N51">
    <cfRule type="containsBlanks" dxfId="62" priority="32">
      <formula>LEN(TRIM(G51))=0</formula>
    </cfRule>
  </conditionalFormatting>
  <conditionalFormatting sqref="CG51:CX51">
    <cfRule type="containsBlanks" dxfId="61" priority="33">
      <formula>LEN(TRIM(CG51))=0</formula>
    </cfRule>
  </conditionalFormatting>
  <conditionalFormatting sqref="CY51:DG51">
    <cfRule type="cellIs" dxfId="60" priority="30" operator="greaterThan">
      <formula>0</formula>
    </cfRule>
  </conditionalFormatting>
  <conditionalFormatting sqref="T51:AK51">
    <cfRule type="expression" dxfId="59" priority="22">
      <formula>BN51=3</formula>
    </cfRule>
    <cfRule type="expression" dxfId="58" priority="23">
      <formula>BN51=2</formula>
    </cfRule>
    <cfRule type="expression" dxfId="57" priority="24">
      <formula>BN51=1</formula>
    </cfRule>
    <cfRule type="expression" dxfId="56" priority="25">
      <formula>T51=""</formula>
    </cfRule>
    <cfRule type="expression" dxfId="55" priority="26">
      <formula>T51="Standard"</formula>
    </cfRule>
    <cfRule type="expression" dxfId="54" priority="27">
      <formula>T51="Heavy"</formula>
    </cfRule>
    <cfRule type="expression" dxfId="53" priority="28">
      <formula>T51="Extreme"</formula>
    </cfRule>
  </conditionalFormatting>
  <conditionalFormatting sqref="DI51:DJ51">
    <cfRule type="expression" dxfId="52" priority="21">
      <formula>DI51=FALSE</formula>
    </cfRule>
  </conditionalFormatting>
  <conditionalFormatting sqref="BN51:CF51">
    <cfRule type="containsBlanks" dxfId="51" priority="36">
      <formula>LEN(TRIM(BN51))=0</formula>
    </cfRule>
    <cfRule type="colorScale" priority="37">
      <colorScale>
        <cfvo type="num" val="0"/>
        <cfvo type="max"/>
        <color theme="9" tint="0.79998168889431442"/>
        <color theme="9" tint="-0.249977111117893"/>
      </colorScale>
    </cfRule>
  </conditionalFormatting>
  <conditionalFormatting sqref="BF4:BM51">
    <cfRule type="cellIs" dxfId="50" priority="53" operator="greaterThan">
      <formula>ROUNDDOWN(BF4,0)+0.727</formula>
    </cfRule>
    <cfRule type="expression" dxfId="49" priority="55">
      <formula>BF4=0</formula>
    </cfRule>
  </conditionalFormatting>
  <conditionalFormatting sqref="AP4:AW51">
    <cfRule type="expression" dxfId="48" priority="2681">
      <formula>G4=0</formula>
    </cfRule>
    <cfRule type="expression" dxfId="47" priority="2682">
      <formula>AP4&lt;&gt;G4</formula>
    </cfRule>
  </conditionalFormatting>
  <conditionalFormatting sqref="DM4:DM51">
    <cfRule type="expression" dxfId="46" priority="2685">
      <formula>$DM4=$E4</formula>
    </cfRule>
  </conditionalFormatting>
  <conditionalFormatting sqref="AX4:BE51">
    <cfRule type="expression" dxfId="45" priority="2686">
      <formula>OR(AX4&lt;&gt;G4,AX4&lt;&gt;AP4)</formula>
    </cfRule>
    <cfRule type="expression" dxfId="44" priority="2687">
      <formula>G4=0</formula>
    </cfRule>
  </conditionalFormatting>
  <conditionalFormatting sqref="A4:DM51">
    <cfRule type="expression" dxfId="43" priority="9">
      <formula>$C4="Soft"</formula>
    </cfRule>
  </conditionalFormatting>
  <conditionalFormatting sqref="BN4:CF50">
    <cfRule type="containsBlanks" dxfId="42" priority="3195">
      <formula>LEN(TRIM(BN4))=0</formula>
    </cfRule>
    <cfRule type="colorScale" priority="3196">
      <colorScale>
        <cfvo type="num" val="0"/>
        <cfvo type="max"/>
        <color theme="9" tint="0.79998168889431442"/>
        <color theme="9" tint="-0.249977111117893"/>
      </colorScale>
    </cfRule>
  </conditionalFormatting>
  <conditionalFormatting sqref="DZ4:EO51">
    <cfRule type="expression" dxfId="41" priority="8" stopIfTrue="1">
      <formula>ISBLANK($P4)</formula>
    </cfRule>
  </conditionalFormatting>
  <conditionalFormatting sqref="DZ4:EO51">
    <cfRule type="cellIs" dxfId="40" priority="6" operator="greaterThan">
      <formula>ROUNDDOWN(DZ4,0)+0.727</formula>
    </cfRule>
    <cfRule type="expression" dxfId="39" priority="7">
      <formula>OR(DZ4=0,DZ4=100)</formula>
    </cfRule>
  </conditionalFormatting>
  <conditionalFormatting sqref="DZ4:EO51">
    <cfRule type="expression" dxfId="38" priority="5">
      <formula>$C4="Soft"</formula>
    </cfRule>
  </conditionalFormatting>
  <hyperlinks>
    <hyperlink ref="R4" r:id="rId1" display="100%"/>
    <hyperlink ref="R5" r:id="rId2" display="../../../../common/InternalReview/TIS/SITE DESIGN REVIEWS/D01 NORTHEAST/R1 - BARTLETT/Tower/100%25"/>
    <hyperlink ref="R6" r:id="rId3" display="100%"/>
    <hyperlink ref="R7" r:id="rId4" display="100%"/>
    <hyperlink ref="R8" r:id="rId5" display="../../../../common/InternalReview/TIS/SITE DESIGN REVIEWS/D02 MID-ATLANTIC/R2 - BLANDY/TOWER"/>
    <hyperlink ref="R9" r:id="rId6" display="../../../../common/InternalReview/TIS/SITE DESIGN REVIEWS/D03 SOUTHEAST/CORE - ORDWAY/TOWER"/>
    <hyperlink ref="R10" r:id="rId7" display="100%"/>
    <hyperlink ref="R11" r:id="rId8" display="100%"/>
    <hyperlink ref="R12" r:id="rId9" display="../../../../common/InternalReview/TIS/SITE DESIGN REVIEWS/D04 ATLANTIC NEOTROPICAL/CORE - GUANICA/TOWER/100%25"/>
    <hyperlink ref="R13" r:id="rId10" display="100%"/>
    <hyperlink ref="R14" r:id="rId11" display="../../../../common/InternalReview/TIS/SITE DESIGN REVIEWS/D05 GREAT LAKES/CORE - UNDERC/Tower/100"/>
    <hyperlink ref="R15" r:id="rId12" display="../../../../common/InternalReview/TIS/SITE DESIGN REVIEWS/D05 GREAT LAKES/R1 - STEIGERWALDT/TOWER/100%25"/>
    <hyperlink ref="R16" r:id="rId13" display="../../../../common/InternalReview/TIS/SITE DESIGN REVIEWS/D05 GREAT LAKES/R2 - TREE HAVEN/Tower/100%25"/>
    <hyperlink ref="R17" r:id="rId14" display="../../../../common/InternalReview/TIS/SITE DESIGN REVIEWS/D06 PRAIRIE PENINSULA/CORE - KONZA/TOWER/100%25"/>
    <hyperlink ref="R18" r:id="rId15" display="100%"/>
    <hyperlink ref="R19" r:id="rId16" display="100%"/>
    <hyperlink ref="R20" r:id="rId17" display="../../../../common/InternalReview/TIS/SITE DESIGN REVIEWS/D07 APPALACHIAN-CUMBERLAND PLATEAUS/CORE - OAK RIDGE/Tower/100%25"/>
    <hyperlink ref="R21" r:id="rId18" display="../../../../common/InternalReview/TIS/SITE DESIGN REVIEWS/D07 APPALACHIAN-CUMBERLAND PLATEAUS/R1 - MOUNTAIN LAKE (MLBS)/TOWER/100%25"/>
    <hyperlink ref="R22" r:id="rId19" display="../../../../common/InternalReview/TIS/SITE DESIGN REVIEWS/D07 APPALACHIAN-CUMBERLAND PLATEAUS/R2 - GREAT SMOKY MOUNTAINS/TOWER/100%25"/>
    <hyperlink ref="R23" r:id="rId20" display="../../../../common/InternalReview/TIS/SITE DESIGN REVIEWS/D08 OZARKS COMPLEX/CORE - TALLADEGA/TOWER/100%25"/>
    <hyperlink ref="R24" r:id="rId21" display="100%"/>
    <hyperlink ref="R25" r:id="rId22" display="../../../../common/InternalReview/TIS/SITE DESIGN REVIEWS/D08 OZARKS COMPLEX/R1 - LENOIR LANDING/Tower/100%25"/>
    <hyperlink ref="R26" r:id="rId23" display="../../../../common/InternalReview/TIS/SITE DESIGN REVIEWS/D09 NORTHERN PLAINS/CORE - WOODWORTH/TOWER"/>
    <hyperlink ref="R27" r:id="rId24" display="../../../../common/InternalReview/TIS/SITE DESIGN REVIEWS/D09 NORTHERN PLAINS/R1 - DAKOTA/TOWER"/>
    <hyperlink ref="R28" r:id="rId25" display="../../../../common/InternalReview/TIS/SITE DESIGN REVIEWS/D09 NORTHERN PLAINS/R2 - NORTHERN GREAT PLAINS/TOWER/100%25"/>
    <hyperlink ref="R29" r:id="rId26" display="../../../../common/InternalReview/TIS/SITE DESIGN REVIEWS/D10 CENTRAL PLAINS/CORE - CPER/TOWER DESIGN/100%25"/>
    <hyperlink ref="R30" r:id="rId27" display="../../../../common/InternalReview/TIS/SITE DESIGN REVIEWS/D10 CENTRAL PLAINS/R1 - STERLING/TOWER"/>
    <hyperlink ref="R31" r:id="rId28" display="../../../../common/InternalReview/TIS/SITE DESIGN REVIEWS/D10 CENTRAL PLAINS/R2 - RMNP CASTNET/Tower/100%25"/>
    <hyperlink ref="R32" r:id="rId29" display="100%"/>
    <hyperlink ref="R33" r:id="rId30" display="../../../../common/InternalReview/TIS/SITE DESIGN REVIEWS/D11 SOUTHERN PLAINS/R2 - KLEMME/TOWER"/>
    <hyperlink ref="R34" r:id="rId31" display="../../../../common/InternalReview/TIS/SITE DESIGN REVIEWS/D12 NORTHERN ROCKIES/CORE - YELLOWSTONE/Tower/100%25"/>
    <hyperlink ref="R35" r:id="rId32" display="../../../../common/InternalReview/TIS/SITE DESIGN REVIEWS/D13 SOUTHERN ROCKIES/CORE - NIWOT/TOWER/100%25"/>
    <hyperlink ref="R36" r:id="rId33" display="../../../../common/InternalReview/TIS/SITE DESIGN REVIEWS/D13 SOUTHERN ROCKIES/R1 - MOAB/Tower/100%25"/>
    <hyperlink ref="R37" r:id="rId34" display="../../../../common/InternalReview/TIS/SITE DESIGN REVIEWS/D14 DESERT SOUTHWEST/CORE - SANTA RITA/TOWER"/>
    <hyperlink ref="R38" r:id="rId35" display="../../../../common/InternalReview/TIS/SITE DESIGN REVIEWS/D14 DESERT SOUTHWEST/R1 - JORNADA/Tower"/>
    <hyperlink ref="R39" r:id="rId36" display="../../../../common/InternalReview/TIS/SITE DESIGN REVIEWS/D15 GREAT BASIN/CORE - ONAQUI/TOWER/100%25"/>
    <hyperlink ref="R40" r:id="rId37" display="../../../../common/InternalReview/TIS/SITE DESIGN REVIEWS/D16 PACIFIC NORTHWEST/CORE- WIND RIVER"/>
    <hyperlink ref="R41" r:id="rId38" display="../../../../common/InternalReview/TIS/SITE DESIGN REVIEWS/D16 PACIFIC NORTHWEST/R2 - ABBY ROAD/TOWER/100%25"/>
    <hyperlink ref="R42" r:id="rId39" display="../../../../common/InternalReview/TIS/SITE DESIGN REVIEWS/D17 PACIFIC SOUTHWEST/CORE - SAN JOAQUIN/TOWER/100%25"/>
    <hyperlink ref="R44" r:id="rId40" display="../../../../common/InternalReview/TIS/SITE DESIGN REVIEWS/D17 PACIFIC SOUTHWEST/R2 - LOWER TEAKETTLE/Tower/100"/>
    <hyperlink ref="R43" r:id="rId41" display="../../../../common/InternalReview/TIS/SITE DESIGN REVIEWS/D17 PACIFIC SOUTHWEST/R1 - SOAPROOT SADDLE/TOWER/100%25"/>
    <hyperlink ref="R45" r:id="rId42" display="../../../../common/InternalReview/TIS/SITE DESIGN REVIEWS/D18 TUNDRA/CORE -TOOLIK LAKE/TOWER/100%25"/>
    <hyperlink ref="R46" r:id="rId43" display="../../../../common/InternalReview/TIS/SITE DESIGN REVIEWS/D18 TUNDRA/R1 - BASC/TOWER/100%25"/>
    <hyperlink ref="R47" r:id="rId44" display="../../../../common/InternalReview/TIS/SITE DESIGN REVIEWS/D19 TAIGA/CORE - CARIBOU CREEK/TOWER/100%25"/>
    <hyperlink ref="R48" r:id="rId45" display="../../../../common/InternalReview/TIS/SITE DESIGN REVIEWS/D19 TAIGA/R1 - DELTA JUNCTION/TOWER/100%25"/>
    <hyperlink ref="R49" r:id="rId46"/>
    <hyperlink ref="R50" r:id="rId47" display="??"/>
    <hyperlink ref="AX4" r:id="rId48" display="../../../../common/InternalReview/TIS/SITE DESIGN REVIEWS/D01 NORTHEAST/CORE - HARVARD FOREST/IOCR Deliverables/Attached to ECO-02435/NEON.DOC.002454 TIS Redlined Infrastructure Design Drawings D01C HARV.pdf"/>
  </hyperlinks>
  <pageMargins left="0.7" right="0.7" top="0.75" bottom="0.75" header="0.3" footer="0.3"/>
  <pageSetup orientation="portrait" r:id="rId49"/>
  <legacyDrawing r:id="rId5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D65"/>
  <sheetViews>
    <sheetView showZeros="0" zoomScale="85" zoomScaleNormal="85" workbookViewId="0">
      <pane xSplit="4" ySplit="3" topLeftCell="E21" activePane="bottomRight" state="frozen"/>
      <selection pane="topRight" activeCell="E1" sqref="E1"/>
      <selection pane="bottomLeft" activeCell="A4" sqref="A4"/>
      <selection pane="bottomRight" activeCell="J39" sqref="J39"/>
    </sheetView>
  </sheetViews>
  <sheetFormatPr defaultRowHeight="15" x14ac:dyDescent="0.25"/>
  <cols>
    <col min="1" max="1" width="13.7109375" customWidth="1"/>
    <col min="4" max="4" width="47.28515625" bestFit="1" customWidth="1"/>
    <col min="5" max="5" width="15.42578125" customWidth="1"/>
    <col min="8" max="8" width="9.140625" style="437"/>
    <col min="9" max="16" width="8.85546875" style="437" customWidth="1"/>
    <col min="17" max="17" width="10.7109375" style="437" customWidth="1"/>
    <col min="18" max="25" width="11.5703125" style="437" customWidth="1"/>
    <col min="26" max="26" width="10.140625" style="437" customWidth="1"/>
    <col min="27" max="27" width="10.85546875" style="437" customWidth="1"/>
    <col min="28" max="28" width="20.5703125" style="437" customWidth="1"/>
    <col min="29" max="29" width="11.28515625" style="437" customWidth="1"/>
    <col min="30" max="30" width="12.28515625" style="437" customWidth="1"/>
  </cols>
  <sheetData>
    <row r="1" spans="1:30" x14ac:dyDescent="0.25">
      <c r="A1" s="515">
        <v>1</v>
      </c>
      <c r="B1" s="516">
        <v>2</v>
      </c>
      <c r="C1" s="516">
        <v>3</v>
      </c>
      <c r="D1" s="517">
        <v>4</v>
      </c>
      <c r="E1" s="515">
        <v>5</v>
      </c>
      <c r="F1" s="516">
        <v>6</v>
      </c>
      <c r="G1" s="666">
        <v>7</v>
      </c>
      <c r="H1" s="515">
        <v>8</v>
      </c>
      <c r="I1" s="666">
        <v>9</v>
      </c>
      <c r="J1" s="666">
        <v>10</v>
      </c>
      <c r="K1" s="666">
        <v>11</v>
      </c>
      <c r="L1" s="666">
        <v>12</v>
      </c>
      <c r="M1" s="666">
        <v>13</v>
      </c>
      <c r="N1" s="666">
        <v>14</v>
      </c>
      <c r="O1" s="666">
        <v>15</v>
      </c>
      <c r="P1" s="517">
        <v>16</v>
      </c>
      <c r="Q1" s="515">
        <v>17</v>
      </c>
      <c r="R1" s="516">
        <v>18</v>
      </c>
      <c r="S1" s="516">
        <v>19</v>
      </c>
      <c r="T1" s="516">
        <v>20</v>
      </c>
      <c r="U1" s="516">
        <v>21</v>
      </c>
      <c r="V1" s="516">
        <v>22</v>
      </c>
      <c r="W1" s="516">
        <v>23</v>
      </c>
      <c r="X1" s="516">
        <v>24</v>
      </c>
      <c r="Y1" s="516">
        <v>25</v>
      </c>
      <c r="Z1" s="666">
        <v>26</v>
      </c>
      <c r="AA1" s="716">
        <v>27</v>
      </c>
      <c r="AB1" s="518">
        <v>28</v>
      </c>
      <c r="AC1" s="666">
        <v>29</v>
      </c>
      <c r="AD1" s="716">
        <v>30</v>
      </c>
    </row>
    <row r="2" spans="1:30" x14ac:dyDescent="0.25">
      <c r="A2" s="1279" t="s">
        <v>859</v>
      </c>
      <c r="B2" s="1280"/>
      <c r="C2" s="1280"/>
      <c r="D2" s="1281"/>
      <c r="E2" s="1276" t="s">
        <v>911</v>
      </c>
      <c r="F2" s="1277"/>
      <c r="G2" s="1278"/>
      <c r="H2" s="1323" t="s">
        <v>910</v>
      </c>
      <c r="I2" s="1324"/>
      <c r="J2" s="1324"/>
      <c r="K2" s="1324"/>
      <c r="L2" s="1324"/>
      <c r="M2" s="1324"/>
      <c r="N2" s="1324"/>
      <c r="O2" s="1324"/>
      <c r="P2" s="1325"/>
      <c r="Q2" s="1326" t="s">
        <v>922</v>
      </c>
      <c r="R2" s="1327"/>
      <c r="S2" s="1327"/>
      <c r="T2" s="1327"/>
      <c r="U2" s="1327"/>
      <c r="V2" s="1327"/>
      <c r="W2" s="1327"/>
      <c r="X2" s="1327"/>
      <c r="Y2" s="1327"/>
      <c r="Z2" s="1327"/>
      <c r="AA2" s="1328"/>
      <c r="AB2" s="1323" t="s">
        <v>924</v>
      </c>
      <c r="AC2" s="1324"/>
      <c r="AD2" s="1325"/>
    </row>
    <row r="3" spans="1:30" ht="45.75" thickBot="1" x14ac:dyDescent="0.3">
      <c r="A3" s="673" t="s">
        <v>766</v>
      </c>
      <c r="B3" s="674" t="s">
        <v>94</v>
      </c>
      <c r="C3" s="431" t="s">
        <v>765</v>
      </c>
      <c r="D3" s="675" t="s">
        <v>126</v>
      </c>
      <c r="E3" s="676" t="s">
        <v>912</v>
      </c>
      <c r="F3" s="431" t="s">
        <v>246</v>
      </c>
      <c r="G3" s="677" t="s">
        <v>244</v>
      </c>
      <c r="H3" s="686" t="s">
        <v>245</v>
      </c>
      <c r="I3" s="343" t="s">
        <v>902</v>
      </c>
      <c r="J3" s="343" t="s">
        <v>903</v>
      </c>
      <c r="K3" s="343" t="s">
        <v>904</v>
      </c>
      <c r="L3" s="343" t="s">
        <v>905</v>
      </c>
      <c r="M3" s="343" t="s">
        <v>906</v>
      </c>
      <c r="N3" s="343" t="s">
        <v>907</v>
      </c>
      <c r="O3" s="343" t="s">
        <v>908</v>
      </c>
      <c r="P3" s="706" t="s">
        <v>909</v>
      </c>
      <c r="Q3" s="707" t="s">
        <v>913</v>
      </c>
      <c r="R3" s="708" t="s">
        <v>914</v>
      </c>
      <c r="S3" s="708" t="s">
        <v>915</v>
      </c>
      <c r="T3" s="708" t="s">
        <v>916</v>
      </c>
      <c r="U3" s="708" t="s">
        <v>917</v>
      </c>
      <c r="V3" s="708" t="s">
        <v>918</v>
      </c>
      <c r="W3" s="708" t="s">
        <v>919</v>
      </c>
      <c r="X3" s="708" t="s">
        <v>920</v>
      </c>
      <c r="Y3" s="708" t="s">
        <v>921</v>
      </c>
      <c r="Z3" s="708" t="s">
        <v>928</v>
      </c>
      <c r="AA3" s="717" t="s">
        <v>926</v>
      </c>
      <c r="AB3" s="707" t="s">
        <v>923</v>
      </c>
      <c r="AC3" s="708" t="s">
        <v>927</v>
      </c>
      <c r="AD3" s="717" t="s">
        <v>925</v>
      </c>
    </row>
    <row r="4" spans="1:30" ht="15.75" thickTop="1" x14ac:dyDescent="0.25">
      <c r="A4" s="589" t="s">
        <v>228</v>
      </c>
      <c r="B4" s="588" t="str">
        <f>VLOOKUP($A4,'TIS Site Config'!$A$3:$AQ$51,2,FALSE)</f>
        <v>D01</v>
      </c>
      <c r="C4" s="524" t="str">
        <f>VLOOKUP($A4,'TIS Site Config'!$A$3:$AQ$51,3,FALSE)</f>
        <v>A-FY14</v>
      </c>
      <c r="D4" s="525" t="str">
        <f>VLOOKUP($A4,'TIS Site Config'!$A$3:$AQ$51,4,FALSE)</f>
        <v>Harvard Forest</v>
      </c>
      <c r="E4" s="589">
        <v>100</v>
      </c>
      <c r="F4" s="588">
        <f>VLOOKUP($A4,'TIS Site Config'!$A$3:$AQ$51,10,FALSE)</f>
        <v>127</v>
      </c>
      <c r="G4" s="667">
        <f>VLOOKUP($A4,'TIS Site Config'!$A$3:$AQ$51,12,FALSE)</f>
        <v>11</v>
      </c>
      <c r="H4" s="586">
        <f>COUNTIF(I4:P4,"&lt;&gt;0")</f>
        <v>6</v>
      </c>
      <c r="I4" s="679">
        <f>IFERROR(
            IF(ISNUMBER(VLOOKUP($A4,'Tower configuration'!$A$3:$DM$50,42,FALSE)),
                    ABS(ROUND(
                           VLOOKUP($A4,'Tower configuration'!$A$3:$DM$50,42,FALSE)/0.3048
                            -
                           VLOOKUP($A4,'Tower configuration'!$A$3:$DM$50,41,FALSE),2)),
                     0),
              0)</f>
        <v>1.06</v>
      </c>
      <c r="J4" s="667">
        <f>IFERROR(
            IF(ISNUMBER(VLOOKUP($A4,'Tower configuration'!$A$3:$DM$50,43,FALSE)),
                    ABS(ROUND(
                           VLOOKUP($A4,'Tower configuration'!$A$3:$DM$50,43,FALSE)/0.3048
                            -
                           VLOOKUP($A4,'Tower configuration'!$A$3:$DM$50,41,FALSE),2)),
                     0),
              0)</f>
        <v>11.41</v>
      </c>
      <c r="K4" s="667">
        <f>IFERROR(
            IF(ISNUMBER(VLOOKUP($A4,'Tower configuration'!$A$3:$DM$50,44,FALSE)),
                    ABS(ROUND(
                           VLOOKUP($A4,'Tower configuration'!$A$3:$DM$50,44,FALSE)/0.3048
                            -
                           VLOOKUP($A4,'Tower configuration'!$A$3:$DM$50,41,FALSE),2)),
                    0),
              0)</f>
        <v>47.5</v>
      </c>
      <c r="L4" s="667">
        <f>IFERROR(
            IF(ISNUMBER(VLOOKUP($A4,'Tower configuration'!$A$3:$DM$50,45,FALSE)),
                    ABS(ROUND(
                           VLOOKUP($A4,'Tower configuration'!$A$3:$DM$50,45,FALSE)/0.3048
                            -
                           VLOOKUP($A4,'Tower configuration'!$A$3:$DM$50,41,FALSE),2)),
                    0),
              0)</f>
        <v>70.459999999999994</v>
      </c>
      <c r="M4" s="679">
        <f>IFERROR(
            IF(ISNUMBER(VLOOKUP($A4,'Tower configuration'!$A$3:$DM$50,46,FALSE)),
                    ABS(ROUND(
                           VLOOKUP($A4,'Tower configuration'!$A$3:$DM$50,46,FALSE)/0.3048
                            -
                           VLOOKUP($A4,'Tower configuration'!$A$3:$DM$50,41,FALSE),2)),
                     0),
              0)</f>
        <v>90.81</v>
      </c>
      <c r="N4" s="679">
        <f>IFERROR(
            IF(ISNUMBER(VLOOKUP($A4,'Tower configuration'!$A$3:$DM$50,47,FALSE)),
                    ABS(ROUND(
                           VLOOKUP($A4,'Tower configuration'!$A$3:$DM$50,47,FALSE)/0.3048
                            -
                           VLOOKUP($A4,'Tower configuration'!$A$3:$DM$50,41,FALSE),2)),
                    0),
              0)</f>
        <v>122.63</v>
      </c>
      <c r="O4" s="667">
        <f>IFERROR(
            IF(ISNUMBER(VLOOKUP($A4,'Tower configuration'!$A$3:$DM$50,48,FALSE)),
                    ABS(ROUND(
                           VLOOKUP($A4,'Tower configuration'!$A$3:$DM$50,48,FALSE)/0.3048
                            -
                           VLOOKUP($A4,'Tower configuration'!$A$3:$DM$50,41,FALSE),2)),
                     0),
              0)</f>
        <v>0</v>
      </c>
      <c r="P4" s="687">
        <f>IFERROR(
            IF(ISNUMBER(VLOOKUP($A4,'Tower configuration'!$A$3:$DM$50,49,FALSE)),
                    ABS(ROUND(
                           VLOOKUP($A4,'Tower configuration'!$A$3:$DM$50,49,FALSE)/0.3048
                            -
                           VLOOKUP($A4,'Tower configuration'!$A$3:$DM$50,41,FALSE),2)),
                     0),
              0)</f>
        <v>0</v>
      </c>
      <c r="Q4" s="586">
        <f t="shared" ref="Q4:Q51" si="0">(E4+$E$57+$E$58+$E$62)*H4</f>
        <v>780</v>
      </c>
      <c r="R4" s="678">
        <f t="shared" ref="R4:R51" si="1">IF(I4&lt;&gt;0,I4+$E$60+$E$61,0)</f>
        <v>46.06</v>
      </c>
      <c r="S4" s="678">
        <f t="shared" ref="S4:S51" si="2">IF(J4&lt;&gt;0,J4+$E$60+$E$61,0)</f>
        <v>56.41</v>
      </c>
      <c r="T4" s="678">
        <f t="shared" ref="T4:T51" si="3">IF(K4&lt;&gt;0,K4+$E$60+$E$61,0)</f>
        <v>92.5</v>
      </c>
      <c r="U4" s="678">
        <f t="shared" ref="U4:U51" si="4">IF(L4&lt;&gt;0,L4+$E$60+$E$61,0)</f>
        <v>115.46</v>
      </c>
      <c r="V4" s="678">
        <f t="shared" ref="V4:V51" si="5">IF(M4&lt;&gt;0,M4+$E$60+$E$61,0)</f>
        <v>135.81</v>
      </c>
      <c r="W4" s="678">
        <f t="shared" ref="W4:W51" si="6">IF(N4&lt;&gt;0,N4+$E$60+$E$61,0)</f>
        <v>167.63</v>
      </c>
      <c r="X4" s="678">
        <f t="shared" ref="X4:X51" si="7">IF(O4&lt;&gt;0,O4+$E$60+$E$61,0)</f>
        <v>0</v>
      </c>
      <c r="Y4" s="678">
        <f t="shared" ref="Y4:Y51" si="8">IF(P4&lt;&gt;0,P4+$E$60+$E$61,0)</f>
        <v>0</v>
      </c>
      <c r="Z4" s="680">
        <f>SUM(Q4:Y4)</f>
        <v>1393.87</v>
      </c>
      <c r="AA4" s="699">
        <f t="shared" ref="AA4:AA51" si="9">Z4*(1+$E$64)</f>
        <v>1672.6439999999998</v>
      </c>
      <c r="AB4" s="709">
        <f t="shared" ref="AB4:AB51" si="10">$E$56+$E$57+$E$58+E4+F4+$E$59</f>
        <v>267</v>
      </c>
      <c r="AC4" s="680">
        <f t="shared" ref="AC4:AC51" si="11">AB4*$E$63</f>
        <v>1335</v>
      </c>
      <c r="AD4" s="699">
        <f t="shared" ref="AD4:AD51" si="12">AC4*(1+$E$64)</f>
        <v>1602</v>
      </c>
    </row>
    <row r="5" spans="1:30" ht="15.75" thickBot="1" x14ac:dyDescent="0.3">
      <c r="A5" s="530" t="s">
        <v>206</v>
      </c>
      <c r="B5" s="523" t="str">
        <f>VLOOKUP($A5,'TIS Site Config'!$A$3:$D$51,2,FALSE)</f>
        <v>D01</v>
      </c>
      <c r="C5" s="11" t="str">
        <f>VLOOKUP($A5,'TIS Site Config'!$A$3:$D$51,3,FALSE)</f>
        <v>A-FY14</v>
      </c>
      <c r="D5" s="531" t="str">
        <f>VLOOKUP($A5,'TIS Site Config'!$A$3:$D$51,4,FALSE)</f>
        <v>Bartlett Experimental Forest</v>
      </c>
      <c r="E5" s="530">
        <v>100</v>
      </c>
      <c r="F5" s="523">
        <f>VLOOKUP($A5,'TIS Site Config'!$A$3:$AQ$51,10,FALSE)</f>
        <v>116</v>
      </c>
      <c r="G5" s="668">
        <f>VLOOKUP($A5,'TIS Site Config'!$A$3:$AQ$51,12,FALSE)</f>
        <v>10</v>
      </c>
      <c r="H5" s="533">
        <f t="shared" ref="H5:H51" si="13">COUNTIF(I5:P5,"&lt;&gt;0")</f>
        <v>6</v>
      </c>
      <c r="I5" s="685">
        <f>IFERROR(
            IF(ISNUMBER(VLOOKUP($A5,'Tower configuration'!$A$3:$DM$50,42,FALSE)),
                    ABS(ROUND(
                           VLOOKUP($A5,'Tower configuration'!$A$3:$DM$50,42,FALSE)/0.3048
                            -
                           VLOOKUP($A5,'Tower configuration'!$A$3:$DM$50,41,FALSE),2)),
                     0),
              0)</f>
        <v>1.96</v>
      </c>
      <c r="J5" s="668">
        <f>IFERROR(
            IF(ISNUMBER(VLOOKUP($A5,'Tower configuration'!$A$3:$DM$50,43,FALSE)),
                    ABS(ROUND(
                           VLOOKUP($A5,'Tower configuration'!$A$3:$DM$50,43,FALSE)/0.3048
                            -
                           VLOOKUP($A5,'Tower configuration'!$A$3:$DM$50,41,FALSE),2)),
                     0),
              0)</f>
        <v>10.83</v>
      </c>
      <c r="K5" s="668">
        <f>IFERROR(
            IF(ISNUMBER(VLOOKUP($A5,'Tower configuration'!$A$3:$DM$50,44,FALSE)),
                    ABS(ROUND(
                           VLOOKUP($A5,'Tower configuration'!$A$3:$DM$50,44,FALSE)/0.3048
                            -
                           VLOOKUP($A5,'Tower configuration'!$A$3:$DM$50,41,FALSE),2)),
                    0),
              0)</f>
        <v>50.2</v>
      </c>
      <c r="L5" s="668">
        <f>IFERROR(
            IF(ISNUMBER(VLOOKUP($A5,'Tower configuration'!$A$3:$DM$50,45,FALSE)),
                    ABS(ROUND(
                           VLOOKUP($A5,'Tower configuration'!$A$3:$DM$50,45,FALSE)/0.3048
                            -
                           VLOOKUP($A5,'Tower configuration'!$A$3:$DM$50,41,FALSE),2)),
                    0),
              0)</f>
        <v>63.33</v>
      </c>
      <c r="M5" s="668">
        <f>IFERROR(
            IF(ISNUMBER(VLOOKUP($A5,'Tower configuration'!$A$3:$DM$50,46,FALSE)),
                    ABS(ROUND(
                           VLOOKUP($A5,'Tower configuration'!$A$3:$DM$50,46,FALSE)/0.3048
                            -
                           VLOOKUP($A5,'Tower configuration'!$A$3:$DM$50,41,FALSE),2)),
                     0),
              0)</f>
        <v>83.01</v>
      </c>
      <c r="N5" s="668">
        <f>IFERROR(
            IF(ISNUMBER(VLOOKUP($A5,'Tower configuration'!$A$3:$DM$50,47,FALSE)),
                    ABS(ROUND(
                           VLOOKUP($A5,'Tower configuration'!$A$3:$DM$50,47,FALSE)/0.3048
                            -
                           VLOOKUP($A5,'Tower configuration'!$A$3:$DM$50,41,FALSE),2)),
                    0),
              0)</f>
        <v>112.54</v>
      </c>
      <c r="O5" s="668">
        <f>IFERROR(
            IF(ISNUMBER(VLOOKUP($A5,'Tower configuration'!$A$3:$DM$50,48,FALSE)),
                    ABS(ROUND(
                           VLOOKUP($A5,'Tower configuration'!$A$3:$DM$50,48,FALSE)/0.3048
                            -
                           VLOOKUP($A5,'Tower configuration'!$A$3:$DM$50,41,FALSE),2)),
                     0),
              0)</f>
        <v>0</v>
      </c>
      <c r="P5" s="351">
        <f>IFERROR(
            IF(ISNUMBER(VLOOKUP($A5,'Tower configuration'!$A$3:$DM$50,49,FALSE)),
                    ABS(ROUND(
                           VLOOKUP($A5,'Tower configuration'!$A$3:$DM$50,49,FALSE)/0.3048
                            -
                           VLOOKUP($A5,'Tower configuration'!$A$3:$DM$50,41,FALSE),2)),
                     0),
              0)</f>
        <v>0</v>
      </c>
      <c r="Q5" s="533">
        <f t="shared" si="0"/>
        <v>780</v>
      </c>
      <c r="R5" s="683">
        <f t="shared" si="1"/>
        <v>46.96</v>
      </c>
      <c r="S5" s="683">
        <f t="shared" si="2"/>
        <v>55.83</v>
      </c>
      <c r="T5" s="683">
        <f t="shared" si="3"/>
        <v>95.2</v>
      </c>
      <c r="U5" s="683">
        <f t="shared" si="4"/>
        <v>108.33</v>
      </c>
      <c r="V5" s="683">
        <f t="shared" si="5"/>
        <v>128.01</v>
      </c>
      <c r="W5" s="683">
        <f t="shared" si="6"/>
        <v>157.54000000000002</v>
      </c>
      <c r="X5" s="683">
        <f t="shared" si="7"/>
        <v>0</v>
      </c>
      <c r="Y5" s="683">
        <f t="shared" si="8"/>
        <v>0</v>
      </c>
      <c r="Z5" s="694">
        <f t="shared" ref="Z5:Z51" si="14">SUM(Q5:Y5)</f>
        <v>1371.8700000000001</v>
      </c>
      <c r="AA5" s="700">
        <f t="shared" si="9"/>
        <v>1646.2440000000001</v>
      </c>
      <c r="AB5" s="710">
        <f t="shared" si="10"/>
        <v>256</v>
      </c>
      <c r="AC5" s="694">
        <f t="shared" si="11"/>
        <v>1280</v>
      </c>
      <c r="AD5" s="700">
        <f t="shared" si="12"/>
        <v>1536</v>
      </c>
    </row>
    <row r="6" spans="1:30" x14ac:dyDescent="0.25">
      <c r="A6" s="515" t="s">
        <v>98</v>
      </c>
      <c r="B6" s="516" t="str">
        <f>VLOOKUP($A6,'TIS Site Config'!$A$3:$D$51,2,FALSE)</f>
        <v>D02</v>
      </c>
      <c r="C6" s="547" t="str">
        <f>VLOOKUP($A6,'TIS Site Config'!$A$3:$D$51,3,FALSE)</f>
        <v>A-FY14</v>
      </c>
      <c r="D6" s="548" t="str">
        <f>VLOOKUP($A6,'TIS Site Config'!$A$3:$D$51,4,FALSE)</f>
        <v>Smithsonian Conservation Biology Institute</v>
      </c>
      <c r="E6" s="515">
        <v>100</v>
      </c>
      <c r="F6" s="516">
        <f>VLOOKUP($A6,'TIS Site Config'!$A$3:$AQ$51,10,FALSE)</f>
        <v>171</v>
      </c>
      <c r="G6" s="670">
        <f>VLOOKUP($A6,'TIS Site Config'!$A$3:$AQ$51,12,FALSE)</f>
        <v>15</v>
      </c>
      <c r="H6" s="688">
        <f t="shared" si="13"/>
        <v>6</v>
      </c>
      <c r="I6" s="670">
        <f>IFERROR(
            IF(ISNUMBER(VLOOKUP($A6,'Tower configuration'!$A$3:$DM$50,42,FALSE)),
                    ABS(ROUND(
                           VLOOKUP($A6,'Tower configuration'!$A$3:$DM$50,42,FALSE)/0.3048
                            -
                           VLOOKUP($A6,'Tower configuration'!$A$3:$DM$50,41,FALSE),2)),
                     0),
              0)</f>
        <v>1.42</v>
      </c>
      <c r="J6" s="670">
        <f>IFERROR(
            IF(ISNUMBER(VLOOKUP($A6,'Tower configuration'!$A$3:$DM$50,43,FALSE)),
                    ABS(ROUND(
                           VLOOKUP($A6,'Tower configuration'!$A$3:$DM$50,43,FALSE)/0.3048
                            -
                           VLOOKUP($A6,'Tower configuration'!$A$3:$DM$50,41,FALSE),2)),
                     0),
              0)</f>
        <v>20.89</v>
      </c>
      <c r="K6" s="670">
        <f>IFERROR(
            IF(ISNUMBER(VLOOKUP($A6,'Tower configuration'!$A$3:$DM$50,44,FALSE)),
                    ABS(ROUND(
                           VLOOKUP($A6,'Tower configuration'!$A$3:$DM$50,44,FALSE)/0.3048
                            -
                           VLOOKUP($A6,'Tower configuration'!$A$3:$DM$50,41,FALSE),2)),
                    0),
              0)</f>
        <v>53.7</v>
      </c>
      <c r="L6" s="670">
        <f>IFERROR(
            IF(ISNUMBER(VLOOKUP($A6,'Tower configuration'!$A$3:$DM$50,45,FALSE)),
                    ABS(ROUND(
                           VLOOKUP($A6,'Tower configuration'!$A$3:$DM$50,45,FALSE)/0.3048
                            -
                           VLOOKUP($A6,'Tower configuration'!$A$3:$DM$50,41,FALSE),2)),
                    0),
              0)</f>
        <v>93.07</v>
      </c>
      <c r="M6" s="670">
        <f>IFERROR(
            IF(ISNUMBER(VLOOKUP($A6,'Tower configuration'!$A$3:$DM$50,46,FALSE)),
                    ABS(ROUND(
                           VLOOKUP($A6,'Tower configuration'!$A$3:$DM$50,46,FALSE)/0.3048
                            -
                           VLOOKUP($A6,'Tower configuration'!$A$3:$DM$50,41,FALSE),2)),
                     0),
              0)</f>
        <v>122.6</v>
      </c>
      <c r="N6" s="670">
        <f>IFERROR(
            IF(ISNUMBER(VLOOKUP($A6,'Tower configuration'!$A$3:$DM$50,47,FALSE)),
                    ABS(ROUND(
                           VLOOKUP($A6,'Tower configuration'!$A$3:$DM$50,47,FALSE)/0.3048
                            -
                           VLOOKUP($A6,'Tower configuration'!$A$3:$DM$50,41,FALSE),2)),
                    0),
              0)</f>
        <v>161.97</v>
      </c>
      <c r="O6" s="670">
        <f>IFERROR(
            IF(ISNUMBER(VLOOKUP($A6,'Tower configuration'!$A$3:$DM$50,48,FALSE)),
                    ABS(ROUND(
                           VLOOKUP($A6,'Tower configuration'!$A$3:$DM$50,48,FALSE)/0.3048
                            -
                           VLOOKUP($A6,'Tower configuration'!$A$3:$DM$50,41,FALSE),2)),
                     0),
              0)</f>
        <v>0</v>
      </c>
      <c r="P6" s="689">
        <f>IFERROR(
            IF(ISNUMBER(VLOOKUP($A6,'Tower configuration'!$A$3:$DM$50,49,FALSE)),
                    ABS(ROUND(
                           VLOOKUP($A6,'Tower configuration'!$A$3:$DM$50,49,FALSE)/0.3048
                            -
                           VLOOKUP($A6,'Tower configuration'!$A$3:$DM$50,41,FALSE),2)),
                     0),
              0)</f>
        <v>0</v>
      </c>
      <c r="Q6" s="688">
        <f t="shared" si="0"/>
        <v>780</v>
      </c>
      <c r="R6" s="691">
        <f t="shared" si="1"/>
        <v>46.42</v>
      </c>
      <c r="S6" s="691">
        <f t="shared" si="2"/>
        <v>65.89</v>
      </c>
      <c r="T6" s="691">
        <f t="shared" si="3"/>
        <v>98.7</v>
      </c>
      <c r="U6" s="691">
        <f t="shared" si="4"/>
        <v>138.07</v>
      </c>
      <c r="V6" s="691">
        <f t="shared" si="5"/>
        <v>167.6</v>
      </c>
      <c r="W6" s="691">
        <f t="shared" si="6"/>
        <v>206.97</v>
      </c>
      <c r="X6" s="691">
        <f t="shared" si="7"/>
        <v>0</v>
      </c>
      <c r="Y6" s="691">
        <f t="shared" si="8"/>
        <v>0</v>
      </c>
      <c r="Z6" s="696">
        <f t="shared" si="14"/>
        <v>1503.6499999999999</v>
      </c>
      <c r="AA6" s="702">
        <f t="shared" si="9"/>
        <v>1804.3799999999999</v>
      </c>
      <c r="AB6" s="712">
        <f t="shared" si="10"/>
        <v>311</v>
      </c>
      <c r="AC6" s="696">
        <f t="shared" si="11"/>
        <v>1555</v>
      </c>
      <c r="AD6" s="702">
        <f t="shared" si="12"/>
        <v>1866</v>
      </c>
    </row>
    <row r="7" spans="1:30" x14ac:dyDescent="0.25">
      <c r="A7" s="530" t="s">
        <v>137</v>
      </c>
      <c r="B7" s="522" t="str">
        <f>VLOOKUP($A7,'TIS Site Config'!$A$3:$D$51,2,FALSE)</f>
        <v>D02</v>
      </c>
      <c r="C7" s="11" t="str">
        <f>VLOOKUP($A7,'TIS Site Config'!$A$3:$D$51,3,FALSE)</f>
        <v>D-FY15-3</v>
      </c>
      <c r="D7" s="531" t="str">
        <f>VLOOKUP($A7,'TIS Site Config'!$A$3:$D$51,4,FALSE)</f>
        <v>Smithsonian Environmental Research Center</v>
      </c>
      <c r="E7" s="530">
        <v>100</v>
      </c>
      <c r="F7" s="522">
        <f>VLOOKUP($A7,'TIS Site Config'!$A$3:$AQ$51,10,FALSE)</f>
        <v>204</v>
      </c>
      <c r="G7" s="668">
        <f>VLOOKUP($A7,'TIS Site Config'!$A$3:$AQ$51,12,FALSE)</f>
        <v>18</v>
      </c>
      <c r="H7" s="533">
        <f t="shared" si="13"/>
        <v>6</v>
      </c>
      <c r="I7" s="668">
        <f>IFERROR(
            IF(ISNUMBER(VLOOKUP($A7,'Tower configuration'!$A$3:$DM$50,42,FALSE)),
                    ABS(ROUND(
                           VLOOKUP($A7,'Tower configuration'!$A$3:$DM$50,42,FALSE)/0.3048
                            -
                           VLOOKUP($A7,'Tower configuration'!$A$3:$DM$50,41,FALSE),2)),
                     0),
              0)</f>
        <v>1.39</v>
      </c>
      <c r="J7" s="668">
        <f>IFERROR(
            IF(ISNUMBER(VLOOKUP($A7,'Tower configuration'!$A$3:$DM$50,43,FALSE)),
                    ABS(ROUND(
                           VLOOKUP($A7,'Tower configuration'!$A$3:$DM$50,43,FALSE)/0.3048
                            -
                           VLOOKUP($A7,'Tower configuration'!$A$3:$DM$50,41,FALSE),2)),
                     0),
              0)</f>
        <v>14.36</v>
      </c>
      <c r="K7" s="668">
        <f>IFERROR(
            IF(ISNUMBER(VLOOKUP($A7,'Tower configuration'!$A$3:$DM$50,44,FALSE)),
                    ABS(ROUND(
                           VLOOKUP($A7,'Tower configuration'!$A$3:$DM$50,44,FALSE)/0.3048
                            -
                           VLOOKUP($A7,'Tower configuration'!$A$3:$DM$50,41,FALSE),2)),
                    0),
              0)</f>
        <v>63.58</v>
      </c>
      <c r="L7" s="668">
        <f>IFERROR(
            IF(ISNUMBER(VLOOKUP($A7,'Tower configuration'!$A$3:$DM$50,45,FALSE)),
                    ABS(ROUND(
                           VLOOKUP($A7,'Tower configuration'!$A$3:$DM$50,45,FALSE)/0.3048
                            -
                           VLOOKUP($A7,'Tower configuration'!$A$3:$DM$50,41,FALSE),2)),
                    0),
              0)</f>
        <v>116.07</v>
      </c>
      <c r="M7" s="668">
        <f>IFERROR(
            IF(ISNUMBER(VLOOKUP($A7,'Tower configuration'!$A$3:$DM$50,46,FALSE)),
                    ABS(ROUND(
                           VLOOKUP($A7,'Tower configuration'!$A$3:$DM$50,46,FALSE)/0.3048
                            -
                           VLOOKUP($A7,'Tower configuration'!$A$3:$DM$50,41,FALSE),2)),
                     0),
              0)</f>
        <v>135.75</v>
      </c>
      <c r="N7" s="668">
        <f>IFERROR(
            IF(ISNUMBER(VLOOKUP($A7,'Tower configuration'!$A$3:$DM$50,47,FALSE)),
                    ABS(ROUND(
                           VLOOKUP($A7,'Tower configuration'!$A$3:$DM$50,47,FALSE)/0.3048
                            -
                           VLOOKUP($A7,'Tower configuration'!$A$3:$DM$50,41,FALSE),2)),
                    0),
              0)</f>
        <v>194.81</v>
      </c>
      <c r="O7" s="668">
        <f>IFERROR(
            IF(ISNUMBER(VLOOKUP($A7,'Tower configuration'!$A$3:$DM$50,48,FALSE)),
                    ABS(ROUND(
                           VLOOKUP($A7,'Tower configuration'!$A$3:$DM$50,48,FALSE)/0.3048
                            -
                           VLOOKUP($A7,'Tower configuration'!$A$3:$DM$50,41,FALSE),2)),
                     0),
              0)</f>
        <v>0</v>
      </c>
      <c r="P7" s="351">
        <f>IFERROR(
            IF(ISNUMBER(VLOOKUP($A7,'Tower configuration'!$A$3:$DM$50,49,FALSE)),
                    ABS(ROUND(
                           VLOOKUP($A7,'Tower configuration'!$A$3:$DM$50,49,FALSE)/0.3048
                            -
                           VLOOKUP($A7,'Tower configuration'!$A$3:$DM$50,41,FALSE),2)),
                     0),
              0)</f>
        <v>0</v>
      </c>
      <c r="Q7" s="533">
        <f t="shared" si="0"/>
        <v>780</v>
      </c>
      <c r="R7" s="683">
        <f t="shared" si="1"/>
        <v>46.39</v>
      </c>
      <c r="S7" s="683">
        <f t="shared" si="2"/>
        <v>59.36</v>
      </c>
      <c r="T7" s="683">
        <f t="shared" si="3"/>
        <v>108.58</v>
      </c>
      <c r="U7" s="683">
        <f t="shared" si="4"/>
        <v>161.07</v>
      </c>
      <c r="V7" s="683">
        <f t="shared" si="5"/>
        <v>180.75</v>
      </c>
      <c r="W7" s="683">
        <f t="shared" si="6"/>
        <v>239.81</v>
      </c>
      <c r="X7" s="683">
        <f t="shared" si="7"/>
        <v>0</v>
      </c>
      <c r="Y7" s="683">
        <f t="shared" si="8"/>
        <v>0</v>
      </c>
      <c r="Z7" s="694">
        <f t="shared" si="14"/>
        <v>1575.96</v>
      </c>
      <c r="AA7" s="700">
        <f t="shared" si="9"/>
        <v>1891.152</v>
      </c>
      <c r="AB7" s="710">
        <f t="shared" si="10"/>
        <v>344</v>
      </c>
      <c r="AC7" s="694">
        <f t="shared" si="11"/>
        <v>1720</v>
      </c>
      <c r="AD7" s="700">
        <f t="shared" si="12"/>
        <v>2064</v>
      </c>
    </row>
    <row r="8" spans="1:30" ht="15.75" thickBot="1" x14ac:dyDescent="0.3">
      <c r="A8" s="558" t="s">
        <v>207</v>
      </c>
      <c r="B8" s="559" t="str">
        <f>VLOOKUP($A8,'TIS Site Config'!$A$3:$D$51,2,FALSE)</f>
        <v>D02</v>
      </c>
      <c r="C8" s="48" t="str">
        <f>VLOOKUP($A8,'TIS Site Config'!$A$3:$D$51,3,FALSE)</f>
        <v>1-FY14</v>
      </c>
      <c r="D8" s="560" t="str">
        <f>VLOOKUP($A8,'TIS Site Config'!$A$3:$D$51,4,FALSE)</f>
        <v>Blandy Experimental Farm</v>
      </c>
      <c r="E8" s="558">
        <v>100</v>
      </c>
      <c r="F8" s="559">
        <f>VLOOKUP($A8,'TIS Site Config'!$A$3:$AQ$51,10,FALSE)</f>
        <v>26</v>
      </c>
      <c r="G8" s="671">
        <f>VLOOKUP($A8,'TIS Site Config'!$A$3:$AQ$51,12,FALSE)</f>
        <v>2</v>
      </c>
      <c r="H8" s="558">
        <f t="shared" si="13"/>
        <v>4</v>
      </c>
      <c r="I8" s="671">
        <f>IFERROR(
            IF(ISNUMBER(VLOOKUP($A8,'Tower configuration'!$A$3:$DM$50,42,FALSE)),
                    ABS(ROUND(
                           VLOOKUP($A8,'Tower configuration'!$A$3:$DM$50,42,FALSE)/0.3048
                            -
                           VLOOKUP($A8,'Tower configuration'!$A$3:$DM$50,41,FALSE),2)),
                     0),
              0)</f>
        <v>0.53</v>
      </c>
      <c r="J8" s="671">
        <f>IFERROR(
            IF(ISNUMBER(VLOOKUP($A8,'Tower configuration'!$A$3:$DM$50,43,FALSE)),
                    ABS(ROUND(
                           VLOOKUP($A8,'Tower configuration'!$A$3:$DM$50,43,FALSE)/0.3048
                            -
                           VLOOKUP($A8,'Tower configuration'!$A$3:$DM$50,41,FALSE),2)),
                     0),
              0)</f>
        <v>2.75</v>
      </c>
      <c r="K8" s="671">
        <f>IFERROR(
            IF(ISNUMBER(VLOOKUP($A8,'Tower configuration'!$A$3:$DM$50,44,FALSE)),
                    ABS(ROUND(
                           VLOOKUP($A8,'Tower configuration'!$A$3:$DM$50,44,FALSE)/0.3048
                            -
                           VLOOKUP($A8,'Tower configuration'!$A$3:$DM$50,41,FALSE),2)),
                    0),
              0)</f>
        <v>8.66</v>
      </c>
      <c r="L8" s="671">
        <f>IFERROR(
            IF(ISNUMBER(VLOOKUP($A8,'Tower configuration'!$A$3:$DM$50,45,FALSE)),
                    ABS(ROUND(
                           VLOOKUP($A8,'Tower configuration'!$A$3:$DM$50,45,FALSE)/0.3048
                            -
                           VLOOKUP($A8,'Tower configuration'!$A$3:$DM$50,41,FALSE),2)),
                    0),
              0)</f>
        <v>18.5</v>
      </c>
      <c r="M8" s="671">
        <f>IFERROR(
            IF(ISNUMBER(VLOOKUP($A8,'Tower configuration'!$A$3:$DM$50,46,FALSE)),
                    ABS(ROUND(
                           VLOOKUP($A8,'Tower configuration'!$A$3:$DM$50,46,FALSE)/0.3048
                            -
                           VLOOKUP($A8,'Tower configuration'!$A$3:$DM$50,41,FALSE),2)),
                     0),
              0)</f>
        <v>0</v>
      </c>
      <c r="N8" s="671">
        <f>IFERROR(
            IF(ISNUMBER(VLOOKUP($A8,'Tower configuration'!$A$3:$DM$50,47,FALSE)),
                    ABS(ROUND(
                           VLOOKUP($A8,'Tower configuration'!$A$3:$DM$50,47,FALSE)/0.3048
                            -
                           VLOOKUP($A8,'Tower configuration'!$A$3:$DM$50,41,FALSE),2)),
                    0),
              0)</f>
        <v>0</v>
      </c>
      <c r="O8" s="671">
        <f>IFERROR(
            IF(ISNUMBER(VLOOKUP($A8,'Tower configuration'!$A$3:$DM$50,48,FALSE)),
                    ABS(ROUND(
                           VLOOKUP($A8,'Tower configuration'!$A$3:$DM$50,48,FALSE)/0.3048
                            -
                           VLOOKUP($A8,'Tower configuration'!$A$3:$DM$50,41,FALSE),2)),
                     0),
              0)</f>
        <v>0</v>
      </c>
      <c r="P8" s="353">
        <f>IFERROR(
            IF(ISNUMBER(VLOOKUP($A8,'Tower configuration'!$A$3:$DM$50,49,FALSE)),
                    ABS(ROUND(
                           VLOOKUP($A8,'Tower configuration'!$A$3:$DM$50,49,FALSE)/0.3048
                            -
                           VLOOKUP($A8,'Tower configuration'!$A$3:$DM$50,41,FALSE),2)),
                     0),
              0)</f>
        <v>0</v>
      </c>
      <c r="Q8" s="558">
        <f t="shared" si="0"/>
        <v>520</v>
      </c>
      <c r="R8" s="681">
        <f t="shared" si="1"/>
        <v>45.53</v>
      </c>
      <c r="S8" s="681">
        <f t="shared" si="2"/>
        <v>47.75</v>
      </c>
      <c r="T8" s="681">
        <f t="shared" si="3"/>
        <v>53.66</v>
      </c>
      <c r="U8" s="681">
        <f t="shared" si="4"/>
        <v>63.5</v>
      </c>
      <c r="V8" s="681">
        <f t="shared" si="5"/>
        <v>0</v>
      </c>
      <c r="W8" s="681">
        <f t="shared" si="6"/>
        <v>0</v>
      </c>
      <c r="X8" s="681">
        <f t="shared" si="7"/>
        <v>0</v>
      </c>
      <c r="Y8" s="681">
        <f t="shared" si="8"/>
        <v>0</v>
      </c>
      <c r="Z8" s="682">
        <f t="shared" si="14"/>
        <v>730.43999999999994</v>
      </c>
      <c r="AA8" s="703">
        <f t="shared" si="9"/>
        <v>876.52799999999991</v>
      </c>
      <c r="AB8" s="713">
        <f t="shared" si="10"/>
        <v>166</v>
      </c>
      <c r="AC8" s="682">
        <f t="shared" si="11"/>
        <v>830</v>
      </c>
      <c r="AD8" s="703">
        <f t="shared" si="12"/>
        <v>996</v>
      </c>
    </row>
    <row r="9" spans="1:30" x14ac:dyDescent="0.25">
      <c r="A9" s="515" t="s">
        <v>22</v>
      </c>
      <c r="B9" s="516" t="str">
        <f>VLOOKUP($A9,'TIS Site Config'!$A$3:$D$51,2,FALSE)</f>
        <v>D03</v>
      </c>
      <c r="C9" s="512" t="str">
        <f>VLOOKUP($A9,'TIS Site Config'!$A$3:$D$51,3,FALSE)</f>
        <v>0-FY13</v>
      </c>
      <c r="D9" s="564" t="str">
        <f>VLOOKUP($A9,'TIS Site Config'!$A$3:$D$51,4,FALSE)</f>
        <v>Ordway-Swisher Biological Station</v>
      </c>
      <c r="E9" s="515">
        <v>100</v>
      </c>
      <c r="F9" s="516">
        <f>VLOOKUP($A9,'TIS Site Config'!$A$3:$AQ$51,10,FALSE)</f>
        <v>116</v>
      </c>
      <c r="G9" s="590">
        <f>VLOOKUP($A9,'TIS Site Config'!$A$3:$AQ$51,12,FALSE)</f>
        <v>10</v>
      </c>
      <c r="H9" s="587">
        <f t="shared" si="13"/>
        <v>6</v>
      </c>
      <c r="I9" s="590">
        <f>IFERROR(
            IF(ISNUMBER(VLOOKUP($A9,'Tower configuration'!$A$3:$DM$50,42,FALSE)),
                    ABS(ROUND(
                           VLOOKUP($A9,'Tower configuration'!$A$3:$DM$50,42,FALSE)/0.3048
                            -
                           VLOOKUP($A9,'Tower configuration'!$A$3:$DM$50,41,FALSE),2)),
                     0),
              0)</f>
        <v>1.1399999999999999</v>
      </c>
      <c r="J9" s="590">
        <f>IFERROR(
            IF(ISNUMBER(VLOOKUP($A9,'Tower configuration'!$A$3:$DM$50,43,FALSE)),
                    ABS(ROUND(
                           VLOOKUP($A9,'Tower configuration'!$A$3:$DM$50,43,FALSE)/0.3048
                            -
                           VLOOKUP($A9,'Tower configuration'!$A$3:$DM$50,41,FALSE),2)),
                     0),
              0)</f>
        <v>5.42</v>
      </c>
      <c r="K9" s="590">
        <f>IFERROR(
            IF(ISNUMBER(VLOOKUP($A9,'Tower configuration'!$A$3:$DM$50,44,FALSE)),
                    ABS(ROUND(
                           VLOOKUP($A9,'Tower configuration'!$A$3:$DM$50,44,FALSE)/0.3048
                            -
                           VLOOKUP($A9,'Tower configuration'!$A$3:$DM$50,41,FALSE),2)),
                    0),
              0)</f>
        <v>27.4</v>
      </c>
      <c r="L9" s="590">
        <f>IFERROR(
            IF(ISNUMBER(VLOOKUP($A9,'Tower configuration'!$A$3:$DM$50,45,FALSE)),
                    ABS(ROUND(
                           VLOOKUP($A9,'Tower configuration'!$A$3:$DM$50,45,FALSE)/0.3048
                            -
                           VLOOKUP($A9,'Tower configuration'!$A$3:$DM$50,41,FALSE),2)),
                    0),
              0)</f>
        <v>43.81</v>
      </c>
      <c r="M9" s="590">
        <f>IFERROR(
            IF(ISNUMBER(VLOOKUP($A9,'Tower configuration'!$A$3:$DM$50,46,FALSE)),
                    ABS(ROUND(
                           VLOOKUP($A9,'Tower configuration'!$A$3:$DM$50,46,FALSE)/0.3048
                            -
                           VLOOKUP($A9,'Tower configuration'!$A$3:$DM$50,41,FALSE),2)),
                     0),
              0)</f>
        <v>79.900000000000006</v>
      </c>
      <c r="N9" s="590">
        <f>IFERROR(
            IF(ISNUMBER(VLOOKUP($A9,'Tower configuration'!$A$3:$DM$50,47,FALSE)),
                    ABS(ROUND(
                           VLOOKUP($A9,'Tower configuration'!$A$3:$DM$50,47,FALSE)/0.3048
                            -
                           VLOOKUP($A9,'Tower configuration'!$A$3:$DM$50,41,FALSE),2)),
                    0),
              0)</f>
        <v>106.14</v>
      </c>
      <c r="O9" s="590">
        <f>IFERROR(
            IF(ISNUMBER(VLOOKUP($A9,'Tower configuration'!$A$3:$DM$50,48,FALSE)),
                    ABS(ROUND(
                           VLOOKUP($A9,'Tower configuration'!$A$3:$DM$50,48,FALSE)/0.3048
                            -
                           VLOOKUP($A9,'Tower configuration'!$A$3:$DM$50,41,FALSE),2)),
                     0),
              0)</f>
        <v>0</v>
      </c>
      <c r="P9" s="513">
        <f>IFERROR(
            IF(ISNUMBER(VLOOKUP($A9,'Tower configuration'!$A$3:$DM$50,49,FALSE)),
                    ABS(ROUND(
                           VLOOKUP($A9,'Tower configuration'!$A$3:$DM$50,49,FALSE)/0.3048
                            -
                           VLOOKUP($A9,'Tower configuration'!$A$3:$DM$50,41,FALSE),2)),
                     0),
              0)</f>
        <v>0</v>
      </c>
      <c r="Q9" s="587">
        <f t="shared" si="0"/>
        <v>780</v>
      </c>
      <c r="R9" s="692">
        <f t="shared" si="1"/>
        <v>46.14</v>
      </c>
      <c r="S9" s="692">
        <f t="shared" si="2"/>
        <v>50.42</v>
      </c>
      <c r="T9" s="692">
        <f t="shared" si="3"/>
        <v>72.400000000000006</v>
      </c>
      <c r="U9" s="692">
        <f t="shared" si="4"/>
        <v>88.81</v>
      </c>
      <c r="V9" s="692">
        <f t="shared" si="5"/>
        <v>124.9</v>
      </c>
      <c r="W9" s="692">
        <f t="shared" si="6"/>
        <v>151.13999999999999</v>
      </c>
      <c r="X9" s="692">
        <f t="shared" si="7"/>
        <v>0</v>
      </c>
      <c r="Y9" s="692">
        <f t="shared" si="8"/>
        <v>0</v>
      </c>
      <c r="Z9" s="697">
        <f t="shared" si="14"/>
        <v>1313.81</v>
      </c>
      <c r="AA9" s="704">
        <f t="shared" si="9"/>
        <v>1576.5719999999999</v>
      </c>
      <c r="AB9" s="714">
        <f t="shared" si="10"/>
        <v>256</v>
      </c>
      <c r="AC9" s="697">
        <f t="shared" si="11"/>
        <v>1280</v>
      </c>
      <c r="AD9" s="704">
        <f t="shared" si="12"/>
        <v>1536</v>
      </c>
    </row>
    <row r="10" spans="1:30" x14ac:dyDescent="0.25">
      <c r="A10" s="533" t="s">
        <v>132</v>
      </c>
      <c r="B10" s="522" t="str">
        <f>VLOOKUP($A10,'TIS Site Config'!$A$3:$D$51,2,FALSE)</f>
        <v>D03</v>
      </c>
      <c r="C10" s="11" t="str">
        <f>VLOOKUP($A10,'TIS Site Config'!$A$3:$D$51,3,FALSE)</f>
        <v>1-FY14</v>
      </c>
      <c r="D10" s="531" t="str">
        <f>VLOOKUP($A10,'TIS Site Config'!$A$3:$D$51,4,FALSE)</f>
        <v>Disney Wilderness Preserve</v>
      </c>
      <c r="E10" s="533">
        <v>100</v>
      </c>
      <c r="F10" s="522">
        <f>VLOOKUP($A10,'TIS Site Config'!$A$3:$AQ$51,10,FALSE)</f>
        <v>26</v>
      </c>
      <c r="G10" s="668">
        <f>VLOOKUP($A10,'TIS Site Config'!$A$3:$AQ$51,12,FALSE)</f>
        <v>2</v>
      </c>
      <c r="H10" s="533">
        <f t="shared" si="13"/>
        <v>4</v>
      </c>
      <c r="I10" s="668">
        <f>IFERROR(
            IF(ISNUMBER(VLOOKUP($A10,'Tower configuration'!$A$3:$DM$50,42,FALSE)),
                    ABS(ROUND(
                           VLOOKUP($A10,'Tower configuration'!$A$3:$DM$50,42,FALSE)/0.3048
                            -
                           VLOOKUP($A10,'Tower configuration'!$A$3:$DM$50,41,FALSE),2)),
                     0),
              0)</f>
        <v>0.2</v>
      </c>
      <c r="J10" s="668">
        <f>IFERROR(
            IF(ISNUMBER(VLOOKUP($A10,'Tower configuration'!$A$3:$DM$50,43,FALSE)),
                    ABS(ROUND(
                           VLOOKUP($A10,'Tower configuration'!$A$3:$DM$50,43,FALSE)/0.3048
                            -
                           VLOOKUP($A10,'Tower configuration'!$A$3:$DM$50,41,FALSE),2)),
                     0),
              0)</f>
        <v>3.73</v>
      </c>
      <c r="K10" s="668">
        <f>IFERROR(
            IF(ISNUMBER(VLOOKUP($A10,'Tower configuration'!$A$3:$DM$50,44,FALSE)),
                    ABS(ROUND(
                           VLOOKUP($A10,'Tower configuration'!$A$3:$DM$50,44,FALSE)/0.3048
                            -
                           VLOOKUP($A10,'Tower configuration'!$A$3:$DM$50,41,FALSE),2)),
                    0),
              0)</f>
        <v>11.94</v>
      </c>
      <c r="L10" s="668">
        <f>IFERROR(
            IF(ISNUMBER(VLOOKUP($A10,'Tower configuration'!$A$3:$DM$50,45,FALSE)),
                    ABS(ROUND(
                           VLOOKUP($A10,'Tower configuration'!$A$3:$DM$50,45,FALSE)/0.3048
                            -
                           VLOOKUP($A10,'Tower configuration'!$A$3:$DM$50,41,FALSE),2)),
                    0),
              0)</f>
        <v>18.5</v>
      </c>
      <c r="M10" s="668">
        <f>IFERROR(
            IF(ISNUMBER(VLOOKUP($A10,'Tower configuration'!$A$3:$DM$50,46,FALSE)),
                    ABS(ROUND(
                           VLOOKUP($A10,'Tower configuration'!$A$3:$DM$50,46,FALSE)/0.3048
                            -
                           VLOOKUP($A10,'Tower configuration'!$A$3:$DM$50,41,FALSE),2)),
                     0),
              0)</f>
        <v>0</v>
      </c>
      <c r="N10" s="668">
        <f>IFERROR(
            IF(ISNUMBER(VLOOKUP($A10,'Tower configuration'!$A$3:$DM$50,47,FALSE)),
                    ABS(ROUND(
                           VLOOKUP($A10,'Tower configuration'!$A$3:$DM$50,47,FALSE)/0.3048
                            -
                           VLOOKUP($A10,'Tower configuration'!$A$3:$DM$50,41,FALSE),2)),
                    0),
              0)</f>
        <v>0</v>
      </c>
      <c r="O10" s="668">
        <f>IFERROR(
            IF(ISNUMBER(VLOOKUP($A10,'Tower configuration'!$A$3:$DM$50,48,FALSE)),
                    ABS(ROUND(
                           VLOOKUP($A10,'Tower configuration'!$A$3:$DM$50,48,FALSE)/0.3048
                            -
                           VLOOKUP($A10,'Tower configuration'!$A$3:$DM$50,41,FALSE),2)),
                     0),
              0)</f>
        <v>0</v>
      </c>
      <c r="P10" s="351">
        <f>IFERROR(
            IF(ISNUMBER(VLOOKUP($A10,'Tower configuration'!$A$3:$DM$50,49,FALSE)),
                    ABS(ROUND(
                           VLOOKUP($A10,'Tower configuration'!$A$3:$DM$50,49,FALSE)/0.3048
                            -
                           VLOOKUP($A10,'Tower configuration'!$A$3:$DM$50,41,FALSE),2)),
                     0),
              0)</f>
        <v>0</v>
      </c>
      <c r="Q10" s="533">
        <f t="shared" si="0"/>
        <v>520</v>
      </c>
      <c r="R10" s="683">
        <f t="shared" si="1"/>
        <v>45.2</v>
      </c>
      <c r="S10" s="683">
        <f t="shared" si="2"/>
        <v>48.730000000000004</v>
      </c>
      <c r="T10" s="683">
        <f t="shared" si="3"/>
        <v>56.94</v>
      </c>
      <c r="U10" s="683">
        <f t="shared" si="4"/>
        <v>63.5</v>
      </c>
      <c r="V10" s="683">
        <f t="shared" si="5"/>
        <v>0</v>
      </c>
      <c r="W10" s="683">
        <f t="shared" si="6"/>
        <v>0</v>
      </c>
      <c r="X10" s="683">
        <f t="shared" si="7"/>
        <v>0</v>
      </c>
      <c r="Y10" s="683">
        <f t="shared" si="8"/>
        <v>0</v>
      </c>
      <c r="Z10" s="694">
        <f t="shared" si="14"/>
        <v>734.37000000000012</v>
      </c>
      <c r="AA10" s="700">
        <f t="shared" si="9"/>
        <v>881.24400000000014</v>
      </c>
      <c r="AB10" s="710">
        <f t="shared" si="10"/>
        <v>166</v>
      </c>
      <c r="AC10" s="694">
        <f t="shared" si="11"/>
        <v>830</v>
      </c>
      <c r="AD10" s="700">
        <f t="shared" si="12"/>
        <v>996</v>
      </c>
    </row>
    <row r="11" spans="1:30" ht="15.75" thickBot="1" x14ac:dyDescent="0.3">
      <c r="A11" s="565" t="s">
        <v>133</v>
      </c>
      <c r="B11" s="559" t="str">
        <f>VLOOKUP($A11,'TIS Site Config'!$A$3:$D$51,2,FALSE)</f>
        <v>D03</v>
      </c>
      <c r="C11" s="48" t="str">
        <f>VLOOKUP($A11,'TIS Site Config'!$A$3:$D$51,3,FALSE)</f>
        <v>1-FY14</v>
      </c>
      <c r="D11" s="560" t="str">
        <f>VLOOKUP($A11,'TIS Site Config'!$A$3:$D$51,4,FALSE)</f>
        <v>Jones Ecological Research Center</v>
      </c>
      <c r="E11" s="565">
        <v>100</v>
      </c>
      <c r="F11" s="559">
        <f>VLOOKUP($A11,'TIS Site Config'!$A$3:$AQ$51,10,FALSE)</f>
        <v>138</v>
      </c>
      <c r="G11" s="671">
        <f>VLOOKUP($A11,'TIS Site Config'!$A$3:$AQ$51,12,FALSE)</f>
        <v>12</v>
      </c>
      <c r="H11" s="558">
        <f t="shared" si="13"/>
        <v>6</v>
      </c>
      <c r="I11" s="671">
        <f>IFERROR(
            IF(ISNUMBER(VLOOKUP($A11,'Tower configuration'!$A$3:$DM$50,42,FALSE)),
                    ABS(ROUND(
                           VLOOKUP($A11,'Tower configuration'!$A$3:$DM$50,42,FALSE)/0.3048
                            -
                           VLOOKUP($A11,'Tower configuration'!$A$3:$DM$50,41,FALSE),2)),
                     0),
              0)</f>
        <v>1.72</v>
      </c>
      <c r="J11" s="671">
        <f>IFERROR(
            IF(ISNUMBER(VLOOKUP($A11,'Tower configuration'!$A$3:$DM$50,43,FALSE)),
                    ABS(ROUND(
                           VLOOKUP($A11,'Tower configuration'!$A$3:$DM$50,43,FALSE)/0.3048
                            -
                           VLOOKUP($A11,'Tower configuration'!$A$3:$DM$50,41,FALSE),2)),
                     0),
              0)</f>
        <v>20.59</v>
      </c>
      <c r="K11" s="671">
        <f>IFERROR(
            IF(ISNUMBER(VLOOKUP($A11,'Tower configuration'!$A$3:$DM$50,44,FALSE)),
                    ABS(ROUND(
                           VLOOKUP($A11,'Tower configuration'!$A$3:$DM$50,44,FALSE)/0.3048
                            -
                           VLOOKUP($A11,'Tower configuration'!$A$3:$DM$50,41,FALSE),2)),
                    0),
              0)</f>
        <v>50.12</v>
      </c>
      <c r="L11" s="671">
        <f>IFERROR(
            IF(ISNUMBER(VLOOKUP($A11,'Tower configuration'!$A$3:$DM$50,45,FALSE)),
                    ABS(ROUND(
                           VLOOKUP($A11,'Tower configuration'!$A$3:$DM$50,45,FALSE)/0.3048
                            -
                           VLOOKUP($A11,'Tower configuration'!$A$3:$DM$50,41,FALSE),2)),
                    0),
              0)</f>
        <v>73.08</v>
      </c>
      <c r="M11" s="671">
        <f>IFERROR(
            IF(ISNUMBER(VLOOKUP($A11,'Tower configuration'!$A$3:$DM$50,46,FALSE)),
                    ABS(ROUND(
                           VLOOKUP($A11,'Tower configuration'!$A$3:$DM$50,46,FALSE)/0.3048
                            -
                           VLOOKUP($A11,'Tower configuration'!$A$3:$DM$50,41,FALSE),2)),
                     0),
              0)</f>
        <v>92.77</v>
      </c>
      <c r="N11" s="671">
        <f>IFERROR(
            IF(ISNUMBER(VLOOKUP($A11,'Tower configuration'!$A$3:$DM$50,47,FALSE)),
                    ABS(ROUND(
                           VLOOKUP($A11,'Tower configuration'!$A$3:$DM$50,47,FALSE)/0.3048
                            -
                           VLOOKUP($A11,'Tower configuration'!$A$3:$DM$50,41,FALSE),2)),
                    0),
              0)</f>
        <v>135.41999999999999</v>
      </c>
      <c r="O11" s="671">
        <f>IFERROR(
            IF(ISNUMBER(VLOOKUP($A11,'Tower configuration'!$A$3:$DM$50,48,FALSE)),
                    ABS(ROUND(
                           VLOOKUP($A11,'Tower configuration'!$A$3:$DM$50,48,FALSE)/0.3048
                            -
                           VLOOKUP($A11,'Tower configuration'!$A$3:$DM$50,41,FALSE),2)),
                     0),
              0)</f>
        <v>0</v>
      </c>
      <c r="P11" s="353">
        <f>IFERROR(
            IF(ISNUMBER(VLOOKUP($A11,'Tower configuration'!$A$3:$DM$50,49,FALSE)),
                    ABS(ROUND(
                           VLOOKUP($A11,'Tower configuration'!$A$3:$DM$50,49,FALSE)/0.3048
                            -
                           VLOOKUP($A11,'Tower configuration'!$A$3:$DM$50,41,FALSE),2)),
                     0),
              0)</f>
        <v>0</v>
      </c>
      <c r="Q11" s="558">
        <f t="shared" si="0"/>
        <v>780</v>
      </c>
      <c r="R11" s="681">
        <f t="shared" si="1"/>
        <v>46.72</v>
      </c>
      <c r="S11" s="681">
        <f t="shared" si="2"/>
        <v>65.59</v>
      </c>
      <c r="T11" s="681">
        <f t="shared" si="3"/>
        <v>95.12</v>
      </c>
      <c r="U11" s="681">
        <f t="shared" si="4"/>
        <v>118.08</v>
      </c>
      <c r="V11" s="681">
        <f t="shared" si="5"/>
        <v>137.76999999999998</v>
      </c>
      <c r="W11" s="681">
        <f t="shared" si="6"/>
        <v>180.42</v>
      </c>
      <c r="X11" s="681">
        <f t="shared" si="7"/>
        <v>0</v>
      </c>
      <c r="Y11" s="681">
        <f t="shared" si="8"/>
        <v>0</v>
      </c>
      <c r="Z11" s="682">
        <f t="shared" si="14"/>
        <v>1423.7</v>
      </c>
      <c r="AA11" s="703">
        <f t="shared" si="9"/>
        <v>1708.44</v>
      </c>
      <c r="AB11" s="713">
        <f t="shared" si="10"/>
        <v>278</v>
      </c>
      <c r="AC11" s="682">
        <f t="shared" si="11"/>
        <v>1390</v>
      </c>
      <c r="AD11" s="703">
        <f t="shared" si="12"/>
        <v>1668</v>
      </c>
    </row>
    <row r="12" spans="1:30" x14ac:dyDescent="0.25">
      <c r="A12" s="515" t="s">
        <v>229</v>
      </c>
      <c r="B12" s="516" t="str">
        <f>VLOOKUP($A12,'TIS Site Config'!$A$3:$D$51,2,FALSE)</f>
        <v>D04</v>
      </c>
      <c r="C12" s="512">
        <f>VLOOKUP($A12,'TIS Site Config'!$A$3:$D$51,3,FALSE)</f>
        <v>0</v>
      </c>
      <c r="D12" s="564" t="str">
        <f>VLOOKUP($A12,'TIS Site Config'!$A$3:$D$51,4,FALSE)</f>
        <v>Guanica Forest</v>
      </c>
      <c r="E12" s="515">
        <v>100</v>
      </c>
      <c r="F12" s="516">
        <f>VLOOKUP($A12,'TIS Site Config'!$A$3:$AQ$51,10,FALSE)</f>
        <v>72</v>
      </c>
      <c r="G12" s="590">
        <f>VLOOKUP($A12,'TIS Site Config'!$A$3:$AQ$51,12,FALSE)</f>
        <v>6</v>
      </c>
      <c r="H12" s="587">
        <f t="shared" si="13"/>
        <v>5</v>
      </c>
      <c r="I12" s="590">
        <f>IFERROR(
            IF(ISNUMBER(VLOOKUP($A12,'Tower configuration'!$A$3:$DM$50,42,FALSE)),
                    ABS(ROUND(
                           VLOOKUP($A12,'Tower configuration'!$A$3:$DM$50,42,FALSE)/0.3048
                            -
                           VLOOKUP($A12,'Tower configuration'!$A$3:$DM$50,41,FALSE),2)),
                     0),
              0)</f>
        <v>1.06</v>
      </c>
      <c r="J12" s="590">
        <f>IFERROR(
            IF(ISNUMBER(VLOOKUP($A12,'Tower configuration'!$A$3:$DM$50,43,FALSE)),
                    ABS(ROUND(
                           VLOOKUP($A12,'Tower configuration'!$A$3:$DM$50,43,FALSE)/0.3048
                            -
                           VLOOKUP($A12,'Tower configuration'!$A$3:$DM$50,41,FALSE),2)),
                     0),
              0)</f>
        <v>11.08</v>
      </c>
      <c r="K12" s="590">
        <f>IFERROR(
            IF(ISNUMBER(VLOOKUP($A12,'Tower configuration'!$A$3:$DM$50,44,FALSE)),
                    ABS(ROUND(
                           VLOOKUP($A12,'Tower configuration'!$A$3:$DM$50,44,FALSE)/0.3048
                            -
                           VLOOKUP($A12,'Tower configuration'!$A$3:$DM$50,41,FALSE),2)),
                    0),
              0)</f>
        <v>24.21</v>
      </c>
      <c r="L12" s="590">
        <f>IFERROR(
            IF(ISNUMBER(VLOOKUP($A12,'Tower configuration'!$A$3:$DM$50,45,FALSE)),
                    ABS(ROUND(
                           VLOOKUP($A12,'Tower configuration'!$A$3:$DM$50,45,FALSE)/0.3048
                            -
                           VLOOKUP($A12,'Tower configuration'!$A$3:$DM$50,41,FALSE),2)),
                    0),
              0)</f>
        <v>37.33</v>
      </c>
      <c r="M12" s="590">
        <f>IFERROR(
            IF(ISNUMBER(VLOOKUP($A12,'Tower configuration'!$A$3:$DM$50,46,FALSE)),
                    ABS(ROUND(
                           VLOOKUP($A12,'Tower configuration'!$A$3:$DM$50,46,FALSE)/0.3048
                            -
                           VLOOKUP($A12,'Tower configuration'!$A$3:$DM$50,41,FALSE),2)),
                     0),
              0)</f>
        <v>63.58</v>
      </c>
      <c r="N12" s="590">
        <f>IFERROR(
            IF(ISNUMBER(VLOOKUP($A12,'Tower configuration'!$A$3:$DM$50,47,FALSE)),
                    ABS(ROUND(
                           VLOOKUP($A12,'Tower configuration'!$A$3:$DM$50,47,FALSE)/0.3048
                            -
                           VLOOKUP($A12,'Tower configuration'!$A$3:$DM$50,41,FALSE),2)),
                    0),
              0)</f>
        <v>0</v>
      </c>
      <c r="O12" s="590">
        <f>IFERROR(
            IF(ISNUMBER(VLOOKUP($A12,'Tower configuration'!$A$3:$DM$50,48,FALSE)),
                    ABS(ROUND(
                           VLOOKUP($A12,'Tower configuration'!$A$3:$DM$50,48,FALSE)/0.3048
                            -
                           VLOOKUP($A12,'Tower configuration'!$A$3:$DM$50,41,FALSE),2)),
                     0),
              0)</f>
        <v>0</v>
      </c>
      <c r="P12" s="513">
        <f>IFERROR(
            IF(ISNUMBER(VLOOKUP($A12,'Tower configuration'!$A$3:$DM$50,49,FALSE)),
                    ABS(ROUND(
                           VLOOKUP($A12,'Tower configuration'!$A$3:$DM$50,49,FALSE)/0.3048
                            -
                           VLOOKUP($A12,'Tower configuration'!$A$3:$DM$50,41,FALSE),2)),
                     0),
              0)</f>
        <v>0</v>
      </c>
      <c r="Q12" s="587">
        <f t="shared" si="0"/>
        <v>650</v>
      </c>
      <c r="R12" s="692">
        <f t="shared" si="1"/>
        <v>46.06</v>
      </c>
      <c r="S12" s="692">
        <f t="shared" si="2"/>
        <v>56.08</v>
      </c>
      <c r="T12" s="692">
        <f t="shared" si="3"/>
        <v>69.210000000000008</v>
      </c>
      <c r="U12" s="692">
        <f t="shared" si="4"/>
        <v>82.33</v>
      </c>
      <c r="V12" s="692">
        <f t="shared" si="5"/>
        <v>108.58</v>
      </c>
      <c r="W12" s="692">
        <f t="shared" si="6"/>
        <v>0</v>
      </c>
      <c r="X12" s="692">
        <f t="shared" si="7"/>
        <v>0</v>
      </c>
      <c r="Y12" s="692">
        <f t="shared" si="8"/>
        <v>0</v>
      </c>
      <c r="Z12" s="697">
        <f t="shared" si="14"/>
        <v>1012.2600000000001</v>
      </c>
      <c r="AA12" s="704">
        <f t="shared" si="9"/>
        <v>1214.712</v>
      </c>
      <c r="AB12" s="714">
        <f t="shared" si="10"/>
        <v>212</v>
      </c>
      <c r="AC12" s="697">
        <f t="shared" si="11"/>
        <v>1060</v>
      </c>
      <c r="AD12" s="704">
        <f t="shared" si="12"/>
        <v>1272</v>
      </c>
    </row>
    <row r="13" spans="1:30" ht="15.75" thickBot="1" x14ac:dyDescent="0.3">
      <c r="A13" s="533" t="s">
        <v>208</v>
      </c>
      <c r="B13" s="522" t="str">
        <f>VLOOKUP($A13,'TIS Site Config'!$A$3:$D$51,2,FALSE)</f>
        <v>D04</v>
      </c>
      <c r="C13" s="11" t="str">
        <f>VLOOKUP($A13,'TIS Site Config'!$A$3:$D$51,3,FALSE)</f>
        <v>B-FY15-1</v>
      </c>
      <c r="D13" s="531" t="str">
        <f>VLOOKUP($A13,'TIS Site Config'!$A$3:$D$51,4,FALSE)</f>
        <v>Lajas Experimental Station</v>
      </c>
      <c r="E13" s="533">
        <v>100</v>
      </c>
      <c r="F13" s="522">
        <f>VLOOKUP($A13,'TIS Site Config'!$A$3:$AQ$51,10,FALSE)</f>
        <v>26</v>
      </c>
      <c r="G13" s="668">
        <f>VLOOKUP($A13,'TIS Site Config'!$A$3:$AQ$51,12,FALSE)</f>
        <v>2</v>
      </c>
      <c r="H13" s="533">
        <f t="shared" si="13"/>
        <v>4</v>
      </c>
      <c r="I13" s="668">
        <f>IFERROR(
            IF(ISNUMBER(VLOOKUP($A13,'Tower configuration'!$A$3:$DM$50,42,FALSE)),
                    ABS(ROUND(
                           VLOOKUP($A13,'Tower configuration'!$A$3:$DM$50,42,FALSE)/0.3048
                            -
                           VLOOKUP($A13,'Tower configuration'!$A$3:$DM$50,41,FALSE),2)),
                     0),
              0)</f>
        <v>0.59</v>
      </c>
      <c r="J13" s="668">
        <f>IFERROR(
            IF(ISNUMBER(VLOOKUP($A13,'Tower configuration'!$A$3:$DM$50,43,FALSE)),
                    ABS(ROUND(
                           VLOOKUP($A13,'Tower configuration'!$A$3:$DM$50,43,FALSE)/0.3048
                            -
                           VLOOKUP($A13,'Tower configuration'!$A$3:$DM$50,41,FALSE),2)),
                     0),
              0)</f>
        <v>5.48</v>
      </c>
      <c r="K13" s="668">
        <f>IFERROR(
            IF(ISNUMBER(VLOOKUP($A13,'Tower configuration'!$A$3:$DM$50,44,FALSE)),
                    ABS(ROUND(
                           VLOOKUP($A13,'Tower configuration'!$A$3:$DM$50,44,FALSE)/0.3048
                            -
                           VLOOKUP($A13,'Tower configuration'!$A$3:$DM$50,41,FALSE),2)),
                    0),
              0)</f>
        <v>12.04</v>
      </c>
      <c r="L13" s="668">
        <f>IFERROR(
            IF(ISNUMBER(VLOOKUP($A13,'Tower configuration'!$A$3:$DM$50,45,FALSE)),
                    ABS(ROUND(
                           VLOOKUP($A13,'Tower configuration'!$A$3:$DM$50,45,FALSE)/0.3048
                            -
                           VLOOKUP($A13,'Tower configuration'!$A$3:$DM$50,41,FALSE),2)),
                    0),
              0)</f>
        <v>18.600000000000001</v>
      </c>
      <c r="M13" s="668">
        <f>IFERROR(
            IF(ISNUMBER(VLOOKUP($A13,'Tower configuration'!$A$3:$DM$50,46,FALSE)),
                    ABS(ROUND(
                           VLOOKUP($A13,'Tower configuration'!$A$3:$DM$50,46,FALSE)/0.3048
                            -
                           VLOOKUP($A13,'Tower configuration'!$A$3:$DM$50,41,FALSE),2)),
                     0),
              0)</f>
        <v>0</v>
      </c>
      <c r="N13" s="668">
        <f>IFERROR(
            IF(ISNUMBER(VLOOKUP($A13,'Tower configuration'!$A$3:$DM$50,47,FALSE)),
                    ABS(ROUND(
                           VLOOKUP($A13,'Tower configuration'!$A$3:$DM$50,47,FALSE)/0.3048
                            -
                           VLOOKUP($A13,'Tower configuration'!$A$3:$DM$50,41,FALSE),2)),
                    0),
              0)</f>
        <v>0</v>
      </c>
      <c r="O13" s="668">
        <f>IFERROR(
            IF(ISNUMBER(VLOOKUP($A13,'Tower configuration'!$A$3:$DM$50,48,FALSE)),
                    ABS(ROUND(
                           VLOOKUP($A13,'Tower configuration'!$A$3:$DM$50,48,FALSE)/0.3048
                            -
                           VLOOKUP($A13,'Tower configuration'!$A$3:$DM$50,41,FALSE),2)),
                     0),
              0)</f>
        <v>0</v>
      </c>
      <c r="P13" s="351">
        <f>IFERROR(
            IF(ISNUMBER(VLOOKUP($A13,'Tower configuration'!$A$3:$DM$50,49,FALSE)),
                    ABS(ROUND(
                           VLOOKUP($A13,'Tower configuration'!$A$3:$DM$50,49,FALSE)/0.3048
                            -
                           VLOOKUP($A13,'Tower configuration'!$A$3:$DM$50,41,FALSE),2)),
                     0),
              0)</f>
        <v>0</v>
      </c>
      <c r="Q13" s="533">
        <f t="shared" si="0"/>
        <v>520</v>
      </c>
      <c r="R13" s="683">
        <f t="shared" si="1"/>
        <v>45.59</v>
      </c>
      <c r="S13" s="683">
        <f t="shared" si="2"/>
        <v>50.480000000000004</v>
      </c>
      <c r="T13" s="683">
        <f t="shared" si="3"/>
        <v>57.04</v>
      </c>
      <c r="U13" s="683">
        <f t="shared" si="4"/>
        <v>63.6</v>
      </c>
      <c r="V13" s="683">
        <f t="shared" si="5"/>
        <v>0</v>
      </c>
      <c r="W13" s="683">
        <f t="shared" si="6"/>
        <v>0</v>
      </c>
      <c r="X13" s="683">
        <f t="shared" si="7"/>
        <v>0</v>
      </c>
      <c r="Y13" s="683">
        <f t="shared" si="8"/>
        <v>0</v>
      </c>
      <c r="Z13" s="694">
        <f t="shared" si="14"/>
        <v>736.71</v>
      </c>
      <c r="AA13" s="700">
        <f t="shared" si="9"/>
        <v>884.05200000000002</v>
      </c>
      <c r="AB13" s="710">
        <f t="shared" si="10"/>
        <v>166</v>
      </c>
      <c r="AC13" s="694">
        <f t="shared" si="11"/>
        <v>830</v>
      </c>
      <c r="AD13" s="700">
        <f t="shared" si="12"/>
        <v>996</v>
      </c>
    </row>
    <row r="14" spans="1:30" x14ac:dyDescent="0.25">
      <c r="A14" s="515" t="s">
        <v>230</v>
      </c>
      <c r="B14" s="516" t="str">
        <f>VLOOKUP($A14,'TIS Site Config'!$A$3:$D$51,2,FALSE)</f>
        <v>D05</v>
      </c>
      <c r="C14" s="512" t="str">
        <f>VLOOKUP($A14,'TIS Site Config'!$A$3:$D$51,3,FALSE)</f>
        <v>A-FY14</v>
      </c>
      <c r="D14" s="564" t="str">
        <f>VLOOKUP($A14,'TIS Site Config'!$A$3:$D$51,4,FALSE)</f>
        <v>UNDERC</v>
      </c>
      <c r="E14" s="515">
        <v>100</v>
      </c>
      <c r="F14" s="516">
        <f>VLOOKUP($A14,'TIS Site Config'!$A$3:$AQ$51,10,FALSE)</f>
        <v>127</v>
      </c>
      <c r="G14" s="590">
        <f>VLOOKUP($A14,'TIS Site Config'!$A$3:$AQ$51,12,FALSE)</f>
        <v>11</v>
      </c>
      <c r="H14" s="587">
        <f t="shared" si="13"/>
        <v>6</v>
      </c>
      <c r="I14" s="590">
        <f>IFERROR(
            IF(ISNUMBER(VLOOKUP($A14,'Tower configuration'!$A$3:$DM$50,42,FALSE)),
                    ABS(ROUND(
                           VLOOKUP($A14,'Tower configuration'!$A$3:$DM$50,42,FALSE)/0.3048
                            -
                           VLOOKUP($A14,'Tower configuration'!$A$3:$DM$50,41,FALSE),2)),
                     0),
              0)</f>
        <v>1.29</v>
      </c>
      <c r="J14" s="590">
        <f>IFERROR(
            IF(ISNUMBER(VLOOKUP($A14,'Tower configuration'!$A$3:$DM$50,43,FALSE)),
                    ABS(ROUND(
                           VLOOKUP($A14,'Tower configuration'!$A$3:$DM$50,43,FALSE)/0.3048
                            -
                           VLOOKUP($A14,'Tower configuration'!$A$3:$DM$50,41,FALSE),2)),
                     0),
              0)</f>
        <v>23.98</v>
      </c>
      <c r="K14" s="590">
        <f>IFERROR(
            IF(ISNUMBER(VLOOKUP($A14,'Tower configuration'!$A$3:$DM$50,44,FALSE)),
                    ABS(ROUND(
                           VLOOKUP($A14,'Tower configuration'!$A$3:$DM$50,44,FALSE)/0.3048
                            -
                           VLOOKUP($A14,'Tower configuration'!$A$3:$DM$50,41,FALSE),2)),
                    0),
              0)</f>
        <v>50.22</v>
      </c>
      <c r="L14" s="590">
        <f>IFERROR(
            IF(ISNUMBER(VLOOKUP($A14,'Tower configuration'!$A$3:$DM$50,45,FALSE)),
                    ABS(ROUND(
                           VLOOKUP($A14,'Tower configuration'!$A$3:$DM$50,45,FALSE)/0.3048
                            -
                           VLOOKUP($A14,'Tower configuration'!$A$3:$DM$50,41,FALSE),2)),
                    0),
              0)</f>
        <v>74.5</v>
      </c>
      <c r="M14" s="590">
        <f>IFERROR(
            IF(ISNUMBER(VLOOKUP($A14,'Tower configuration'!$A$3:$DM$50,46,FALSE)),
                    ABS(ROUND(
                           VLOOKUP($A14,'Tower configuration'!$A$3:$DM$50,46,FALSE)/0.3048
                            -
                           VLOOKUP($A14,'Tower configuration'!$A$3:$DM$50,41,FALSE),2)),
                     0),
              0)</f>
        <v>85.33</v>
      </c>
      <c r="N14" s="590">
        <f>IFERROR(
            IF(ISNUMBER(VLOOKUP($A14,'Tower configuration'!$A$3:$DM$50,47,FALSE)),
                    ABS(ROUND(
                           VLOOKUP($A14,'Tower configuration'!$A$3:$DM$50,47,FALSE)/0.3048
                            -
                           VLOOKUP($A14,'Tower configuration'!$A$3:$DM$50,41,FALSE),2)),
                    0),
              0)</f>
        <v>115.84</v>
      </c>
      <c r="O14" s="590">
        <f>IFERROR(
            IF(ISNUMBER(VLOOKUP($A14,'Tower configuration'!$A$3:$DM$50,48,FALSE)),
                    ABS(ROUND(
                           VLOOKUP($A14,'Tower configuration'!$A$3:$DM$50,48,FALSE)/0.3048
                            -
                           VLOOKUP($A14,'Tower configuration'!$A$3:$DM$50,41,FALSE),2)),
                     0),
              0)</f>
        <v>0</v>
      </c>
      <c r="P14" s="513">
        <f>IFERROR(
            IF(ISNUMBER(VLOOKUP($A14,'Tower configuration'!$A$3:$DM$50,49,FALSE)),
                    ABS(ROUND(
                           VLOOKUP($A14,'Tower configuration'!$A$3:$DM$50,49,FALSE)/0.3048
                            -
                           VLOOKUP($A14,'Tower configuration'!$A$3:$DM$50,41,FALSE),2)),
                     0),
              0)</f>
        <v>0</v>
      </c>
      <c r="Q14" s="587">
        <f t="shared" si="0"/>
        <v>780</v>
      </c>
      <c r="R14" s="692">
        <f t="shared" si="1"/>
        <v>46.29</v>
      </c>
      <c r="S14" s="692">
        <f t="shared" si="2"/>
        <v>68.98</v>
      </c>
      <c r="T14" s="692">
        <f t="shared" si="3"/>
        <v>95.22</v>
      </c>
      <c r="U14" s="692">
        <f t="shared" si="4"/>
        <v>119.5</v>
      </c>
      <c r="V14" s="692">
        <f t="shared" si="5"/>
        <v>130.32999999999998</v>
      </c>
      <c r="W14" s="692">
        <f t="shared" si="6"/>
        <v>160.84</v>
      </c>
      <c r="X14" s="692">
        <f t="shared" si="7"/>
        <v>0</v>
      </c>
      <c r="Y14" s="692">
        <f t="shared" si="8"/>
        <v>0</v>
      </c>
      <c r="Z14" s="697">
        <f t="shared" si="14"/>
        <v>1401.1599999999999</v>
      </c>
      <c r="AA14" s="704">
        <f t="shared" si="9"/>
        <v>1681.3919999999998</v>
      </c>
      <c r="AB14" s="714">
        <f t="shared" si="10"/>
        <v>267</v>
      </c>
      <c r="AC14" s="697">
        <f t="shared" si="11"/>
        <v>1335</v>
      </c>
      <c r="AD14" s="704">
        <f t="shared" si="12"/>
        <v>1602</v>
      </c>
    </row>
    <row r="15" spans="1:30" x14ac:dyDescent="0.25">
      <c r="A15" s="530" t="s">
        <v>209</v>
      </c>
      <c r="B15" s="522" t="str">
        <f>VLOOKUP($A15,'TIS Site Config'!$A$3:$D$51,2,FALSE)</f>
        <v>D05</v>
      </c>
      <c r="C15" s="11">
        <f>VLOOKUP($A15,'TIS Site Config'!$A$3:$D$51,3,FALSE)</f>
        <v>0</v>
      </c>
      <c r="D15" s="531" t="str">
        <f>VLOOKUP($A15,'TIS Site Config'!$A$3:$D$51,4,FALSE)</f>
        <v>Steigerwaldt Land Services</v>
      </c>
      <c r="E15" s="530">
        <v>100</v>
      </c>
      <c r="F15" s="522">
        <f>VLOOKUP($A15,'TIS Site Config'!$A$3:$AQ$51,10,FALSE)</f>
        <v>70</v>
      </c>
      <c r="G15" s="668">
        <f>VLOOKUP($A15,'TIS Site Config'!$A$3:$AQ$51,12,FALSE)</f>
        <v>6</v>
      </c>
      <c r="H15" s="533">
        <f t="shared" si="13"/>
        <v>6</v>
      </c>
      <c r="I15" s="668">
        <f>IFERROR(
            IF(ISNUMBER(VLOOKUP($A15,'Tower configuration'!$A$3:$DM$50,42,FALSE)),
                    ABS(ROUND(
                           VLOOKUP($A15,'Tower configuration'!$A$3:$DM$50,42,FALSE)/0.3048
                            -
                           VLOOKUP($A15,'Tower configuration'!$A$3:$DM$50,41,FALSE),2)),
                     0),
              0)</f>
        <v>0.4</v>
      </c>
      <c r="J15" s="668">
        <f>IFERROR(
            IF(ISNUMBER(VLOOKUP($A15,'Tower configuration'!$A$3:$DM$50,43,FALSE)),
                    ABS(ROUND(
                           VLOOKUP($A15,'Tower configuration'!$A$3:$DM$50,43,FALSE)/0.3048
                            -
                           VLOOKUP($A15,'Tower configuration'!$A$3:$DM$50,41,FALSE),2)),
                     0),
              0)</f>
        <v>8.5</v>
      </c>
      <c r="K15" s="668">
        <f>IFERROR(
            IF(ISNUMBER(VLOOKUP($A15,'Tower configuration'!$A$3:$DM$50,44,FALSE)),
                    ABS(ROUND(
                           VLOOKUP($A15,'Tower configuration'!$A$3:$DM$50,44,FALSE)/0.3048
                            -
                           VLOOKUP($A15,'Tower configuration'!$A$3:$DM$50,41,FALSE),2)),
                    0),
              0)</f>
        <v>19.5</v>
      </c>
      <c r="L15" s="668">
        <f>IFERROR(
            IF(ISNUMBER(VLOOKUP($A15,'Tower configuration'!$A$3:$DM$50,45,FALSE)),
                    ABS(ROUND(
                           VLOOKUP($A15,'Tower configuration'!$A$3:$DM$50,45,FALSE)/0.3048
                            -
                           VLOOKUP($A15,'Tower configuration'!$A$3:$DM$50,41,FALSE),2)),
                    0),
              0)</f>
        <v>30.52</v>
      </c>
      <c r="M15" s="668">
        <f>IFERROR(
            IF(ISNUMBER(VLOOKUP($A15,'Tower configuration'!$A$3:$DM$50,46,FALSE)),
                    ABS(ROUND(
                           VLOOKUP($A15,'Tower configuration'!$A$3:$DM$50,46,FALSE)/0.3048
                            -
                           VLOOKUP($A15,'Tower configuration'!$A$3:$DM$50,41,FALSE),2)),
                     0),
              0)</f>
        <v>47.38</v>
      </c>
      <c r="N15" s="668">
        <f>IFERROR(
            IF(ISNUMBER(VLOOKUP($A15,'Tower configuration'!$A$3:$DM$50,47,FALSE)),
                    ABS(ROUND(
                           VLOOKUP($A15,'Tower configuration'!$A$3:$DM$50,47,FALSE)/0.3048
                            -
                           VLOOKUP($A15,'Tower configuration'!$A$3:$DM$50,41,FALSE),2)),
                    0),
              0)</f>
        <v>70.25</v>
      </c>
      <c r="O15" s="668">
        <f>IFERROR(
            IF(ISNUMBER(VLOOKUP($A15,'Tower configuration'!$A$3:$DM$50,48,FALSE)),
                    ABS(ROUND(
                           VLOOKUP($A15,'Tower configuration'!$A$3:$DM$50,48,FALSE)/0.3048
                            -
                           VLOOKUP($A15,'Tower configuration'!$A$3:$DM$50,41,FALSE),2)),
                     0),
              0)</f>
        <v>0</v>
      </c>
      <c r="P15" s="351">
        <f>IFERROR(
            IF(ISNUMBER(VLOOKUP($A15,'Tower configuration'!$A$3:$DM$50,49,FALSE)),
                    ABS(ROUND(
                           VLOOKUP($A15,'Tower configuration'!$A$3:$DM$50,49,FALSE)/0.3048
                            -
                           VLOOKUP($A15,'Tower configuration'!$A$3:$DM$50,41,FALSE),2)),
                     0),
              0)</f>
        <v>0</v>
      </c>
      <c r="Q15" s="533">
        <f t="shared" si="0"/>
        <v>780</v>
      </c>
      <c r="R15" s="683">
        <f t="shared" si="1"/>
        <v>45.4</v>
      </c>
      <c r="S15" s="683">
        <f t="shared" si="2"/>
        <v>53.5</v>
      </c>
      <c r="T15" s="683">
        <f t="shared" si="3"/>
        <v>64.5</v>
      </c>
      <c r="U15" s="683">
        <f t="shared" si="4"/>
        <v>75.52</v>
      </c>
      <c r="V15" s="683">
        <f t="shared" si="5"/>
        <v>92.38</v>
      </c>
      <c r="W15" s="683">
        <f t="shared" si="6"/>
        <v>115.25</v>
      </c>
      <c r="X15" s="683">
        <f t="shared" si="7"/>
        <v>0</v>
      </c>
      <c r="Y15" s="683">
        <f t="shared" si="8"/>
        <v>0</v>
      </c>
      <c r="Z15" s="694">
        <f t="shared" si="14"/>
        <v>1226.55</v>
      </c>
      <c r="AA15" s="700">
        <f t="shared" si="9"/>
        <v>1471.86</v>
      </c>
      <c r="AB15" s="710">
        <f t="shared" si="10"/>
        <v>210</v>
      </c>
      <c r="AC15" s="694">
        <f t="shared" si="11"/>
        <v>1050</v>
      </c>
      <c r="AD15" s="700">
        <f t="shared" si="12"/>
        <v>1260</v>
      </c>
    </row>
    <row r="16" spans="1:30" ht="15.75" thickBot="1" x14ac:dyDescent="0.3">
      <c r="A16" s="565" t="s">
        <v>210</v>
      </c>
      <c r="B16" s="559" t="str">
        <f>VLOOKUP($A16,'TIS Site Config'!$A$3:$D$51,2,FALSE)</f>
        <v>D05</v>
      </c>
      <c r="C16" s="48" t="str">
        <f>VLOOKUP($A16,'TIS Site Config'!$A$3:$D$51,3,FALSE)</f>
        <v>D-FY15-3</v>
      </c>
      <c r="D16" s="560" t="str">
        <f>VLOOKUP($A16,'TIS Site Config'!$A$3:$D$51,4,FALSE)</f>
        <v>Treehaven</v>
      </c>
      <c r="E16" s="565">
        <v>100</v>
      </c>
      <c r="F16" s="559">
        <f>VLOOKUP($A16,'TIS Site Config'!$A$3:$AQ$51,10,FALSE)</f>
        <v>116</v>
      </c>
      <c r="G16" s="671">
        <f>VLOOKUP($A16,'TIS Site Config'!$A$3:$AQ$51,12,FALSE)</f>
        <v>10</v>
      </c>
      <c r="H16" s="558">
        <f t="shared" si="13"/>
        <v>6</v>
      </c>
      <c r="I16" s="671">
        <f>IFERROR(
            IF(ISNUMBER(VLOOKUP($A16,'Tower configuration'!$A$3:$DM$50,42,FALSE)),
                    ABS(ROUND(
                           VLOOKUP($A16,'Tower configuration'!$A$3:$DM$50,42,FALSE)/0.3048
                            -
                           VLOOKUP($A16,'Tower configuration'!$A$3:$DM$50,41,FALSE),2)),
                     0),
              0)</f>
        <v>1.06</v>
      </c>
      <c r="J16" s="671">
        <f>IFERROR(
            IF(ISNUMBER(VLOOKUP($A16,'Tower configuration'!$A$3:$DM$50,43,FALSE)),
                    ABS(ROUND(
                           VLOOKUP($A16,'Tower configuration'!$A$3:$DM$50,43,FALSE)/0.3048
                            -
                           VLOOKUP($A16,'Tower configuration'!$A$3:$DM$50,41,FALSE),2)),
                     0),
              0)</f>
        <v>0.57999999999999996</v>
      </c>
      <c r="K16" s="671">
        <f>IFERROR(
            IF(ISNUMBER(VLOOKUP($A16,'Tower configuration'!$A$3:$DM$50,44,FALSE)),
                    ABS(ROUND(
                           VLOOKUP($A16,'Tower configuration'!$A$3:$DM$50,44,FALSE)/0.3048
                            -
                           VLOOKUP($A16,'Tower configuration'!$A$3:$DM$50,41,FALSE),2)),
                    0),
              0)</f>
        <v>30.77</v>
      </c>
      <c r="L16" s="671">
        <f>IFERROR(
            IF(ISNUMBER(VLOOKUP($A16,'Tower configuration'!$A$3:$DM$50,45,FALSE)),
                    ABS(ROUND(
                           VLOOKUP($A16,'Tower configuration'!$A$3:$DM$50,45,FALSE)/0.3048
                            -
                           VLOOKUP($A16,'Tower configuration'!$A$3:$DM$50,41,FALSE),2)),
                    0),
              0)</f>
        <v>73.42</v>
      </c>
      <c r="M16" s="671">
        <f>IFERROR(
            IF(ISNUMBER(VLOOKUP($A16,'Tower configuration'!$A$3:$DM$50,46,FALSE)),
                    ABS(ROUND(
                           VLOOKUP($A16,'Tower configuration'!$A$3:$DM$50,46,FALSE)/0.3048
                            -
                           VLOOKUP($A16,'Tower configuration'!$A$3:$DM$50,41,FALSE),2)),
                     0),
              0)</f>
        <v>86.54</v>
      </c>
      <c r="N16" s="671">
        <f>IFERROR(
            IF(ISNUMBER(VLOOKUP($A16,'Tower configuration'!$A$3:$DM$50,47,FALSE)),
                    ABS(ROUND(
                           VLOOKUP($A16,'Tower configuration'!$A$3:$DM$50,47,FALSE)/0.3048
                            -
                           VLOOKUP($A16,'Tower configuration'!$A$3:$DM$50,41,FALSE),2)),
                    0),
              0)</f>
        <v>112.79</v>
      </c>
      <c r="O16" s="671">
        <f>IFERROR(
            IF(ISNUMBER(VLOOKUP($A16,'Tower configuration'!$A$3:$DM$50,48,FALSE)),
                    ABS(ROUND(
                           VLOOKUP($A16,'Tower configuration'!$A$3:$DM$50,48,FALSE)/0.3048
                            -
                           VLOOKUP($A16,'Tower configuration'!$A$3:$DM$50,41,FALSE),2)),
                     0),
              0)</f>
        <v>0</v>
      </c>
      <c r="P16" s="353">
        <f>IFERROR(
            IF(ISNUMBER(VLOOKUP($A16,'Tower configuration'!$A$3:$DM$50,49,FALSE)),
                    ABS(ROUND(
                           VLOOKUP($A16,'Tower configuration'!$A$3:$DM$50,49,FALSE)/0.3048
                            -
                           VLOOKUP($A16,'Tower configuration'!$A$3:$DM$50,41,FALSE),2)),
                     0),
              0)</f>
        <v>0</v>
      </c>
      <c r="Q16" s="558">
        <f t="shared" si="0"/>
        <v>780</v>
      </c>
      <c r="R16" s="681">
        <f t="shared" si="1"/>
        <v>46.06</v>
      </c>
      <c r="S16" s="681">
        <f t="shared" si="2"/>
        <v>45.58</v>
      </c>
      <c r="T16" s="681">
        <f t="shared" si="3"/>
        <v>75.77</v>
      </c>
      <c r="U16" s="681">
        <f t="shared" si="4"/>
        <v>118.42</v>
      </c>
      <c r="V16" s="681">
        <f t="shared" si="5"/>
        <v>131.54000000000002</v>
      </c>
      <c r="W16" s="681">
        <f t="shared" si="6"/>
        <v>157.79000000000002</v>
      </c>
      <c r="X16" s="681">
        <f t="shared" si="7"/>
        <v>0</v>
      </c>
      <c r="Y16" s="681">
        <f t="shared" si="8"/>
        <v>0</v>
      </c>
      <c r="Z16" s="682">
        <f t="shared" si="14"/>
        <v>1355.1599999999999</v>
      </c>
      <c r="AA16" s="703">
        <f t="shared" si="9"/>
        <v>1626.1919999999998</v>
      </c>
      <c r="AB16" s="713">
        <f t="shared" si="10"/>
        <v>256</v>
      </c>
      <c r="AC16" s="682">
        <f t="shared" si="11"/>
        <v>1280</v>
      </c>
      <c r="AD16" s="703">
        <f t="shared" si="12"/>
        <v>1536</v>
      </c>
    </row>
    <row r="17" spans="1:30" x14ac:dyDescent="0.25">
      <c r="A17" s="587" t="s">
        <v>231</v>
      </c>
      <c r="B17" s="516" t="str">
        <f>VLOOKUP($A17,'TIS Site Config'!$A$3:$D$51,2,FALSE)</f>
        <v>D06</v>
      </c>
      <c r="C17" s="512" t="str">
        <f>VLOOKUP($A17,'TIS Site Config'!$A$3:$D$51,3,FALSE)</f>
        <v>C-FY15-2</v>
      </c>
      <c r="D17" s="564" t="str">
        <f>VLOOKUP($A17,'TIS Site Config'!$A$3:$D$51,4,FALSE)</f>
        <v>Konza Prairie Biological Station</v>
      </c>
      <c r="E17" s="587">
        <v>100</v>
      </c>
      <c r="F17" s="516">
        <f>VLOOKUP($A17,'TIS Site Config'!$A$3:$AQ$51,10,FALSE)</f>
        <v>26</v>
      </c>
      <c r="G17" s="590">
        <f>VLOOKUP($A17,'TIS Site Config'!$A$3:$AQ$51,12,FALSE)</f>
        <v>2</v>
      </c>
      <c r="H17" s="587">
        <f t="shared" si="13"/>
        <v>4</v>
      </c>
      <c r="I17" s="590">
        <f>IFERROR(
            IF(ISNUMBER(VLOOKUP($A17,'Tower configuration'!$A$3:$DM$50,42,FALSE)),
                    ABS(ROUND(
                           VLOOKUP($A17,'Tower configuration'!$A$3:$DM$50,42,FALSE)/0.3048
                            -
                           VLOOKUP($A17,'Tower configuration'!$A$3:$DM$50,41,FALSE),2)),
                     0),
              0)</f>
        <v>0.55000000000000004</v>
      </c>
      <c r="J17" s="590">
        <f>IFERROR(
            IF(ISNUMBER(VLOOKUP($A17,'Tower configuration'!$A$3:$DM$50,43,FALSE)),
                    ABS(ROUND(
                           VLOOKUP($A17,'Tower configuration'!$A$3:$DM$50,43,FALSE)/0.3048
                            -
                           VLOOKUP($A17,'Tower configuration'!$A$3:$DM$50,41,FALSE),2)),
                     0),
              0)</f>
        <v>3.71</v>
      </c>
      <c r="K17" s="590">
        <f>IFERROR(
            IF(ISNUMBER(VLOOKUP($A17,'Tower configuration'!$A$3:$DM$50,44,FALSE)),
                    ABS(ROUND(
                           VLOOKUP($A17,'Tower configuration'!$A$3:$DM$50,44,FALSE)/0.3048
                            -
                           VLOOKUP($A17,'Tower configuration'!$A$3:$DM$50,41,FALSE),2)),
                    0),
              0)</f>
        <v>11.26</v>
      </c>
      <c r="L17" s="590">
        <f>IFERROR(
            IF(ISNUMBER(VLOOKUP($A17,'Tower configuration'!$A$3:$DM$50,45,FALSE)),
                    ABS(ROUND(
                           VLOOKUP($A17,'Tower configuration'!$A$3:$DM$50,45,FALSE)/0.3048
                            -
                           VLOOKUP($A17,'Tower configuration'!$A$3:$DM$50,41,FALSE),2)),
                    0),
              0)</f>
        <v>18.48</v>
      </c>
      <c r="M17" s="590">
        <f>IFERROR(
            IF(ISNUMBER(VLOOKUP($A17,'Tower configuration'!$A$3:$DM$50,46,FALSE)),
                    ABS(ROUND(
                           VLOOKUP($A17,'Tower configuration'!$A$3:$DM$50,46,FALSE)/0.3048
                            -
                           VLOOKUP($A17,'Tower configuration'!$A$3:$DM$50,41,FALSE),2)),
                     0),
              0)</f>
        <v>0</v>
      </c>
      <c r="N17" s="590">
        <f>IFERROR(
            IF(ISNUMBER(VLOOKUP($A17,'Tower configuration'!$A$3:$DM$50,47,FALSE)),
                    ABS(ROUND(
                           VLOOKUP($A17,'Tower configuration'!$A$3:$DM$50,47,FALSE)/0.3048
                            -
                           VLOOKUP($A17,'Tower configuration'!$A$3:$DM$50,41,FALSE),2)),
                    0),
              0)</f>
        <v>0</v>
      </c>
      <c r="O17" s="590">
        <f>IFERROR(
            IF(ISNUMBER(VLOOKUP($A17,'Tower configuration'!$A$3:$DM$50,48,FALSE)),
                    ABS(ROUND(
                           VLOOKUP($A17,'Tower configuration'!$A$3:$DM$50,48,FALSE)/0.3048
                            -
                           VLOOKUP($A17,'Tower configuration'!$A$3:$DM$50,41,FALSE),2)),
                     0),
              0)</f>
        <v>0</v>
      </c>
      <c r="P17" s="513">
        <f>IFERROR(
            IF(ISNUMBER(VLOOKUP($A17,'Tower configuration'!$A$3:$DM$50,49,FALSE)),
                    ABS(ROUND(
                           VLOOKUP($A17,'Tower configuration'!$A$3:$DM$50,49,FALSE)/0.3048
                            -
                           VLOOKUP($A17,'Tower configuration'!$A$3:$DM$50,41,FALSE),2)),
                     0),
              0)</f>
        <v>0</v>
      </c>
      <c r="Q17" s="587">
        <f t="shared" si="0"/>
        <v>520</v>
      </c>
      <c r="R17" s="692">
        <f t="shared" si="1"/>
        <v>45.55</v>
      </c>
      <c r="S17" s="692">
        <f t="shared" si="2"/>
        <v>48.71</v>
      </c>
      <c r="T17" s="692">
        <f t="shared" si="3"/>
        <v>56.26</v>
      </c>
      <c r="U17" s="692">
        <f t="shared" si="4"/>
        <v>63.480000000000004</v>
      </c>
      <c r="V17" s="692">
        <f t="shared" si="5"/>
        <v>0</v>
      </c>
      <c r="W17" s="692">
        <f t="shared" si="6"/>
        <v>0</v>
      </c>
      <c r="X17" s="692">
        <f t="shared" si="7"/>
        <v>0</v>
      </c>
      <c r="Y17" s="692">
        <f t="shared" si="8"/>
        <v>0</v>
      </c>
      <c r="Z17" s="697">
        <f t="shared" si="14"/>
        <v>734</v>
      </c>
      <c r="AA17" s="704">
        <f t="shared" si="9"/>
        <v>880.8</v>
      </c>
      <c r="AB17" s="714">
        <f t="shared" si="10"/>
        <v>166</v>
      </c>
      <c r="AC17" s="697">
        <f t="shared" si="11"/>
        <v>830</v>
      </c>
      <c r="AD17" s="704">
        <f t="shared" si="12"/>
        <v>996</v>
      </c>
    </row>
    <row r="18" spans="1:30" x14ac:dyDescent="0.25">
      <c r="A18" s="530" t="s">
        <v>211</v>
      </c>
      <c r="B18" s="522" t="str">
        <f>VLOOKUP($A18,'TIS Site Config'!$A$3:$D$51,2,FALSE)</f>
        <v>D06</v>
      </c>
      <c r="C18" s="11">
        <f>VLOOKUP($A18,'TIS Site Config'!$A$3:$D$51,3,FALSE)</f>
        <v>0</v>
      </c>
      <c r="D18" s="531" t="str">
        <f>VLOOKUP($A18,'TIS Site Config'!$A$3:$D$51,4,FALSE)</f>
        <v>The University of Kansas Field Station</v>
      </c>
      <c r="E18" s="530">
        <v>100</v>
      </c>
      <c r="F18" s="522">
        <f>VLOOKUP($A18,'TIS Site Config'!$A$3:$AQ$51,10,FALSE)</f>
        <v>116</v>
      </c>
      <c r="G18" s="668">
        <f>VLOOKUP($A18,'TIS Site Config'!$A$3:$AQ$51,12,FALSE)</f>
        <v>10</v>
      </c>
      <c r="H18" s="533">
        <f t="shared" si="13"/>
        <v>6</v>
      </c>
      <c r="I18" s="668">
        <f>IFERROR(
            IF(ISNUMBER(VLOOKUP($A18,'Tower configuration'!$A$3:$DM$50,42,FALSE)),
                    ABS(ROUND(
                           VLOOKUP($A18,'Tower configuration'!$A$3:$DM$50,42,FALSE)/0.3048
                            -
                           VLOOKUP($A18,'Tower configuration'!$A$3:$DM$50,41,FALSE),2)),
                     0),
              0)</f>
        <v>1.18</v>
      </c>
      <c r="J18" s="668">
        <f>IFERROR(
            IF(ISNUMBER(VLOOKUP($A18,'Tower configuration'!$A$3:$DM$50,43,FALSE)),
                    ABS(ROUND(
                           VLOOKUP($A18,'Tower configuration'!$A$3:$DM$50,43,FALSE)/0.3048
                            -
                           VLOOKUP($A18,'Tower configuration'!$A$3:$DM$50,41,FALSE),2)),
                     0),
              0)</f>
        <v>1.1100000000000001</v>
      </c>
      <c r="K18" s="668">
        <f>IFERROR(
            IF(ISNUMBER(VLOOKUP($A18,'Tower configuration'!$A$3:$DM$50,44,FALSE)),
                    ABS(ROUND(
                           VLOOKUP($A18,'Tower configuration'!$A$3:$DM$50,44,FALSE)/0.3048
                            -
                           VLOOKUP($A18,'Tower configuration'!$A$3:$DM$50,41,FALSE),2)),
                    0),
              0)</f>
        <v>24.08</v>
      </c>
      <c r="L18" s="668">
        <f>IFERROR(
            IF(ISNUMBER(VLOOKUP($A18,'Tower configuration'!$A$3:$DM$50,45,FALSE)),
                    ABS(ROUND(
                           VLOOKUP($A18,'Tower configuration'!$A$3:$DM$50,45,FALSE)/0.3048
                            -
                           VLOOKUP($A18,'Tower configuration'!$A$3:$DM$50,41,FALSE),2)),
                    0),
              0)</f>
        <v>60.17</v>
      </c>
      <c r="M18" s="668">
        <f>IFERROR(
            IF(ISNUMBER(VLOOKUP($A18,'Tower configuration'!$A$3:$DM$50,46,FALSE)),
                    ABS(ROUND(
                           VLOOKUP($A18,'Tower configuration'!$A$3:$DM$50,46,FALSE)/0.3048
                            -
                           VLOOKUP($A18,'Tower configuration'!$A$3:$DM$50,41,FALSE),2)),
                     0),
              0)</f>
        <v>76.569999999999993</v>
      </c>
      <c r="N18" s="668">
        <f>IFERROR(
            IF(ISNUMBER(VLOOKUP($A18,'Tower configuration'!$A$3:$DM$50,47,FALSE)),
                    ABS(ROUND(
                           VLOOKUP($A18,'Tower configuration'!$A$3:$DM$50,47,FALSE)/0.3048
                            -
                           VLOOKUP($A18,'Tower configuration'!$A$3:$DM$50,41,FALSE),2)),
                    0),
              0)</f>
        <v>104.46</v>
      </c>
      <c r="O18" s="668">
        <f>IFERROR(
            IF(ISNUMBER(VLOOKUP($A18,'Tower configuration'!$A$3:$DM$50,48,FALSE)),
                    ABS(ROUND(
                           VLOOKUP($A18,'Tower configuration'!$A$3:$DM$50,48,FALSE)/0.3048
                            -
                           VLOOKUP($A18,'Tower configuration'!$A$3:$DM$50,41,FALSE),2)),
                     0),
              0)</f>
        <v>0</v>
      </c>
      <c r="P18" s="351">
        <f>IFERROR(
            IF(ISNUMBER(VLOOKUP($A18,'Tower configuration'!$A$3:$DM$50,49,FALSE)),
                    ABS(ROUND(
                           VLOOKUP($A18,'Tower configuration'!$A$3:$DM$50,49,FALSE)/0.3048
                            -
                           VLOOKUP($A18,'Tower configuration'!$A$3:$DM$50,41,FALSE),2)),
                     0),
              0)</f>
        <v>0</v>
      </c>
      <c r="Q18" s="533">
        <f t="shared" si="0"/>
        <v>780</v>
      </c>
      <c r="R18" s="683">
        <f t="shared" si="1"/>
        <v>46.18</v>
      </c>
      <c r="S18" s="683">
        <f t="shared" si="2"/>
        <v>46.11</v>
      </c>
      <c r="T18" s="683">
        <f t="shared" si="3"/>
        <v>69.08</v>
      </c>
      <c r="U18" s="683">
        <f t="shared" si="4"/>
        <v>105.17</v>
      </c>
      <c r="V18" s="683">
        <f t="shared" si="5"/>
        <v>121.57</v>
      </c>
      <c r="W18" s="683">
        <f t="shared" si="6"/>
        <v>149.45999999999998</v>
      </c>
      <c r="X18" s="683">
        <f t="shared" si="7"/>
        <v>0</v>
      </c>
      <c r="Y18" s="683">
        <f t="shared" si="8"/>
        <v>0</v>
      </c>
      <c r="Z18" s="694">
        <f t="shared" si="14"/>
        <v>1317.57</v>
      </c>
      <c r="AA18" s="700">
        <f t="shared" si="9"/>
        <v>1581.0839999999998</v>
      </c>
      <c r="AB18" s="710">
        <f t="shared" si="10"/>
        <v>256</v>
      </c>
      <c r="AC18" s="694">
        <f t="shared" si="11"/>
        <v>1280</v>
      </c>
      <c r="AD18" s="700">
        <f t="shared" si="12"/>
        <v>1536</v>
      </c>
    </row>
    <row r="19" spans="1:30" ht="15.75" thickBot="1" x14ac:dyDescent="0.3">
      <c r="A19" s="558" t="s">
        <v>212</v>
      </c>
      <c r="B19" s="559" t="str">
        <f>VLOOKUP($A19,'TIS Site Config'!$A$3:$D$51,2,FALSE)</f>
        <v>D06</v>
      </c>
      <c r="C19" s="48">
        <f>VLOOKUP($A19,'TIS Site Config'!$A$3:$D$51,3,FALSE)</f>
        <v>0</v>
      </c>
      <c r="D19" s="560" t="str">
        <f>VLOOKUP($A19,'TIS Site Config'!$A$3:$D$51,4,FALSE)</f>
        <v>Konza Prairie Biological Station</v>
      </c>
      <c r="E19" s="558">
        <v>100</v>
      </c>
      <c r="F19" s="559">
        <f>VLOOKUP($A19,'TIS Site Config'!$A$3:$AQ$51,10,FALSE)</f>
        <v>26</v>
      </c>
      <c r="G19" s="671">
        <f>VLOOKUP($A19,'TIS Site Config'!$A$3:$AQ$51,12,FALSE)</f>
        <v>2</v>
      </c>
      <c r="H19" s="558">
        <f t="shared" si="13"/>
        <v>4</v>
      </c>
      <c r="I19" s="671">
        <f>IFERROR(
            IF(ISNUMBER(VLOOKUP($A19,'Tower configuration'!$A$3:$DM$50,42,FALSE)),
                    ABS(ROUND(
                           VLOOKUP($A19,'Tower configuration'!$A$3:$DM$50,42,FALSE)/0.3048
                            -
                           VLOOKUP($A19,'Tower configuration'!$A$3:$DM$50,41,FALSE),2)),
                     0),
              0)</f>
        <v>0.55000000000000004</v>
      </c>
      <c r="J19" s="671">
        <f>IFERROR(
            IF(ISNUMBER(VLOOKUP($A19,'Tower configuration'!$A$3:$DM$50,43,FALSE)),
                    ABS(ROUND(
                           VLOOKUP($A19,'Tower configuration'!$A$3:$DM$50,43,FALSE)/0.3048
                            -
                           VLOOKUP($A19,'Tower configuration'!$A$3:$DM$50,41,FALSE),2)),
                     0),
              0)</f>
        <v>3.71</v>
      </c>
      <c r="K19" s="671">
        <f>IFERROR(
            IF(ISNUMBER(VLOOKUP($A19,'Tower configuration'!$A$3:$DM$50,44,FALSE)),
                    ABS(ROUND(
                           VLOOKUP($A19,'Tower configuration'!$A$3:$DM$50,44,FALSE)/0.3048
                            -
                           VLOOKUP($A19,'Tower configuration'!$A$3:$DM$50,41,FALSE),2)),
                    0),
              0)</f>
        <v>11.26</v>
      </c>
      <c r="L19" s="671">
        <f>IFERROR(
            IF(ISNUMBER(VLOOKUP($A19,'Tower configuration'!$A$3:$DM$50,45,FALSE)),
                    ABS(ROUND(
                           VLOOKUP($A19,'Tower configuration'!$A$3:$DM$50,45,FALSE)/0.3048
                            -
                           VLOOKUP($A19,'Tower configuration'!$A$3:$DM$50,41,FALSE),2)),
                    0),
              0)</f>
        <v>18.48</v>
      </c>
      <c r="M19" s="671">
        <f>IFERROR(
            IF(ISNUMBER(VLOOKUP($A19,'Tower configuration'!$A$3:$DM$50,46,FALSE)),
                    ABS(ROUND(
                           VLOOKUP($A19,'Tower configuration'!$A$3:$DM$50,46,FALSE)/0.3048
                            -
                           VLOOKUP($A19,'Tower configuration'!$A$3:$DM$50,41,FALSE),2)),
                     0),
              0)</f>
        <v>0</v>
      </c>
      <c r="N19" s="671">
        <f>IFERROR(
            IF(ISNUMBER(VLOOKUP($A19,'Tower configuration'!$A$3:$DM$50,47,FALSE)),
                    ABS(ROUND(
                           VLOOKUP($A19,'Tower configuration'!$A$3:$DM$50,47,FALSE)/0.3048
                            -
                           VLOOKUP($A19,'Tower configuration'!$A$3:$DM$50,41,FALSE),2)),
                    0),
              0)</f>
        <v>0</v>
      </c>
      <c r="O19" s="671">
        <f>IFERROR(
            IF(ISNUMBER(VLOOKUP($A19,'Tower configuration'!$A$3:$DM$50,48,FALSE)),
                    ABS(ROUND(
                           VLOOKUP($A19,'Tower configuration'!$A$3:$DM$50,48,FALSE)/0.3048
                            -
                           VLOOKUP($A19,'Tower configuration'!$A$3:$DM$50,41,FALSE),2)),
                     0),
              0)</f>
        <v>0</v>
      </c>
      <c r="P19" s="353">
        <f>IFERROR(
            IF(ISNUMBER(VLOOKUP($A19,'Tower configuration'!$A$3:$DM$50,49,FALSE)),
                    ABS(ROUND(
                           VLOOKUP($A19,'Tower configuration'!$A$3:$DM$50,49,FALSE)/0.3048
                            -
                           VLOOKUP($A19,'Tower configuration'!$A$3:$DM$50,41,FALSE),2)),
                     0),
              0)</f>
        <v>0</v>
      </c>
      <c r="Q19" s="558">
        <f t="shared" si="0"/>
        <v>520</v>
      </c>
      <c r="R19" s="681">
        <f t="shared" si="1"/>
        <v>45.55</v>
      </c>
      <c r="S19" s="681">
        <f t="shared" si="2"/>
        <v>48.71</v>
      </c>
      <c r="T19" s="681">
        <f t="shared" si="3"/>
        <v>56.26</v>
      </c>
      <c r="U19" s="681">
        <f t="shared" si="4"/>
        <v>63.480000000000004</v>
      </c>
      <c r="V19" s="681">
        <f t="shared" si="5"/>
        <v>0</v>
      </c>
      <c r="W19" s="681">
        <f t="shared" si="6"/>
        <v>0</v>
      </c>
      <c r="X19" s="681">
        <f t="shared" si="7"/>
        <v>0</v>
      </c>
      <c r="Y19" s="681">
        <f t="shared" si="8"/>
        <v>0</v>
      </c>
      <c r="Z19" s="682">
        <f t="shared" si="14"/>
        <v>734</v>
      </c>
      <c r="AA19" s="703">
        <f t="shared" si="9"/>
        <v>880.8</v>
      </c>
      <c r="AB19" s="713">
        <f t="shared" si="10"/>
        <v>166</v>
      </c>
      <c r="AC19" s="682">
        <f t="shared" si="11"/>
        <v>830</v>
      </c>
      <c r="AD19" s="703">
        <f t="shared" si="12"/>
        <v>996</v>
      </c>
    </row>
    <row r="20" spans="1:30" x14ac:dyDescent="0.25">
      <c r="A20" s="515" t="s">
        <v>232</v>
      </c>
      <c r="B20" s="516" t="str">
        <f>VLOOKUP($A20,'TIS Site Config'!$A$3:$D$51,2,FALSE)</f>
        <v>D07</v>
      </c>
      <c r="C20" s="512" t="str">
        <f>VLOOKUP($A20,'TIS Site Config'!$A$3:$D$51,3,FALSE)</f>
        <v>B-FY15-1</v>
      </c>
      <c r="D20" s="564" t="str">
        <f>VLOOKUP($A20,'TIS Site Config'!$A$3:$D$51,4,FALSE)</f>
        <v>Oak Ridge</v>
      </c>
      <c r="E20" s="515">
        <v>100</v>
      </c>
      <c r="F20" s="516">
        <f>VLOOKUP($A20,'TIS Site Config'!$A$3:$AQ$51,10,FALSE)</f>
        <v>127</v>
      </c>
      <c r="G20" s="590">
        <f>VLOOKUP($A20,'TIS Site Config'!$A$3:$AQ$51,12,FALSE)</f>
        <v>11</v>
      </c>
      <c r="H20" s="587">
        <f t="shared" si="13"/>
        <v>6</v>
      </c>
      <c r="I20" s="590">
        <f>IFERROR(
            IF(ISNUMBER(VLOOKUP($A20,'Tower configuration'!$A$3:$DM$50,42,FALSE)),
                    ABS(ROUND(
                           VLOOKUP($A20,'Tower configuration'!$A$3:$DM$50,42,FALSE)/0.3048
                            -
                           VLOOKUP($A20,'Tower configuration'!$A$3:$DM$50,41,FALSE),2)),
                     0),
              0)</f>
        <v>1.31</v>
      </c>
      <c r="J20" s="590">
        <f>IFERROR(
            IF(ISNUMBER(VLOOKUP($A20,'Tower configuration'!$A$3:$DM$50,43,FALSE)),
                    ABS(ROUND(
                           VLOOKUP($A20,'Tower configuration'!$A$3:$DM$50,43,FALSE)/0.3048
                            -
                           VLOOKUP($A20,'Tower configuration'!$A$3:$DM$50,41,FALSE),2)),
                     0),
              0)</f>
        <v>20.67</v>
      </c>
      <c r="K20" s="590">
        <f>IFERROR(
            IF(ISNUMBER(VLOOKUP($A20,'Tower configuration'!$A$3:$DM$50,44,FALSE)),
                    ABS(ROUND(
                           VLOOKUP($A20,'Tower configuration'!$A$3:$DM$50,44,FALSE)/0.3048
                            -
                           VLOOKUP($A20,'Tower configuration'!$A$3:$DM$50,41,FALSE),2)),
                    0),
              0)</f>
        <v>50.2</v>
      </c>
      <c r="L20" s="590">
        <f>IFERROR(
            IF(ISNUMBER(VLOOKUP($A20,'Tower configuration'!$A$3:$DM$50,45,FALSE)),
                    ABS(ROUND(
                           VLOOKUP($A20,'Tower configuration'!$A$3:$DM$50,45,FALSE)/0.3048
                            -
                           VLOOKUP($A20,'Tower configuration'!$A$3:$DM$50,41,FALSE),2)),
                    0),
              0)</f>
        <v>69.89</v>
      </c>
      <c r="M20" s="590">
        <f>IFERROR(
            IF(ISNUMBER(VLOOKUP($A20,'Tower configuration'!$A$3:$DM$50,46,FALSE)),
                    ABS(ROUND(
                           VLOOKUP($A20,'Tower configuration'!$A$3:$DM$50,46,FALSE)/0.3048
                            -
                           VLOOKUP($A20,'Tower configuration'!$A$3:$DM$50,41,FALSE),2)),
                     0),
              0)</f>
        <v>96.13</v>
      </c>
      <c r="N20" s="590">
        <f>IFERROR(
            IF(ISNUMBER(VLOOKUP($A20,'Tower configuration'!$A$3:$DM$50,47,FALSE)),
                    ABS(ROUND(
                           VLOOKUP($A20,'Tower configuration'!$A$3:$DM$50,47,FALSE)/0.3048
                            -
                           VLOOKUP($A20,'Tower configuration'!$A$3:$DM$50,41,FALSE),2)),
                    0),
              0)</f>
        <v>122.38</v>
      </c>
      <c r="O20" s="590">
        <f>IFERROR(
            IF(ISNUMBER(VLOOKUP($A20,'Tower configuration'!$A$3:$DM$50,48,FALSE)),
                    ABS(ROUND(
                           VLOOKUP($A20,'Tower configuration'!$A$3:$DM$50,48,FALSE)/0.3048
                            -
                           VLOOKUP($A20,'Tower configuration'!$A$3:$DM$50,41,FALSE),2)),
                     0),
              0)</f>
        <v>0</v>
      </c>
      <c r="P20" s="513">
        <f>IFERROR(
            IF(ISNUMBER(VLOOKUP($A20,'Tower configuration'!$A$3:$DM$50,49,FALSE)),
                    ABS(ROUND(
                           VLOOKUP($A20,'Tower configuration'!$A$3:$DM$50,49,FALSE)/0.3048
                            -
                           VLOOKUP($A20,'Tower configuration'!$A$3:$DM$50,41,FALSE),2)),
                     0),
              0)</f>
        <v>0</v>
      </c>
      <c r="Q20" s="587">
        <f t="shared" si="0"/>
        <v>780</v>
      </c>
      <c r="R20" s="692">
        <f t="shared" si="1"/>
        <v>46.31</v>
      </c>
      <c r="S20" s="692">
        <f t="shared" si="2"/>
        <v>65.67</v>
      </c>
      <c r="T20" s="692">
        <f t="shared" si="3"/>
        <v>95.2</v>
      </c>
      <c r="U20" s="692">
        <f t="shared" si="4"/>
        <v>114.89</v>
      </c>
      <c r="V20" s="692">
        <f t="shared" si="5"/>
        <v>141.13</v>
      </c>
      <c r="W20" s="692">
        <f t="shared" si="6"/>
        <v>167.38</v>
      </c>
      <c r="X20" s="692">
        <f t="shared" si="7"/>
        <v>0</v>
      </c>
      <c r="Y20" s="692">
        <f t="shared" si="8"/>
        <v>0</v>
      </c>
      <c r="Z20" s="697">
        <f t="shared" si="14"/>
        <v>1410.58</v>
      </c>
      <c r="AA20" s="704">
        <f t="shared" si="9"/>
        <v>1692.6959999999999</v>
      </c>
      <c r="AB20" s="714">
        <f t="shared" si="10"/>
        <v>267</v>
      </c>
      <c r="AC20" s="697">
        <f t="shared" si="11"/>
        <v>1335</v>
      </c>
      <c r="AD20" s="704">
        <f t="shared" si="12"/>
        <v>1602</v>
      </c>
    </row>
    <row r="21" spans="1:30" x14ac:dyDescent="0.25">
      <c r="A21" s="530" t="s">
        <v>214</v>
      </c>
      <c r="B21" s="522" t="str">
        <f>VLOOKUP($A21,'TIS Site Config'!$A$3:$D$51,2,FALSE)</f>
        <v>D07</v>
      </c>
      <c r="C21" s="11" t="str">
        <f>VLOOKUP($A21,'TIS Site Config'!$A$3:$D$51,3,FALSE)</f>
        <v>B-FY15-1</v>
      </c>
      <c r="D21" s="531" t="str">
        <f>VLOOKUP($A21,'TIS Site Config'!$A$3:$D$51,4,FALSE)</f>
        <v>Mountain Lake Biological Station</v>
      </c>
      <c r="E21" s="530">
        <v>100</v>
      </c>
      <c r="F21" s="522">
        <f>VLOOKUP($A21,'TIS Site Config'!$A$3:$AQ$51,10,FALSE)</f>
        <v>94</v>
      </c>
      <c r="G21" s="668">
        <f>VLOOKUP($A21,'TIS Site Config'!$A$3:$AQ$51,12,FALSE)</f>
        <v>8</v>
      </c>
      <c r="H21" s="533">
        <f t="shared" si="13"/>
        <v>6</v>
      </c>
      <c r="I21" s="668">
        <f>IFERROR(
            IF(ISNUMBER(VLOOKUP($A21,'Tower configuration'!$A$3:$DM$50,42,FALSE)),
                    ABS(ROUND(
                           VLOOKUP($A21,'Tower configuration'!$A$3:$DM$50,42,FALSE)/0.3048
                            -
                           VLOOKUP($A21,'Tower configuration'!$A$3:$DM$50,41,FALSE),2)),
                     0),
              0)</f>
        <v>1.06</v>
      </c>
      <c r="J21" s="668">
        <f>IFERROR(
            IF(ISNUMBER(VLOOKUP($A21,'Tower configuration'!$A$3:$DM$50,43,FALSE)),
                    ABS(ROUND(
                           VLOOKUP($A21,'Tower configuration'!$A$3:$DM$50,43,FALSE)/0.3048
                            -
                           VLOOKUP($A21,'Tower configuration'!$A$3:$DM$50,41,FALSE),2)),
                     0),
              0)</f>
        <v>11.08</v>
      </c>
      <c r="K21" s="668">
        <f>IFERROR(
            IF(ISNUMBER(VLOOKUP($A21,'Tower configuration'!$A$3:$DM$50,44,FALSE)),
                    ABS(ROUND(
                           VLOOKUP($A21,'Tower configuration'!$A$3:$DM$50,44,FALSE)/0.3048
                            -
                           VLOOKUP($A21,'Tower configuration'!$A$3:$DM$50,41,FALSE),2)),
                    0),
              0)</f>
        <v>24.21</v>
      </c>
      <c r="L21" s="668">
        <f>IFERROR(
            IF(ISNUMBER(VLOOKUP($A21,'Tower configuration'!$A$3:$DM$50,45,FALSE)),
                    ABS(ROUND(
                           VLOOKUP($A21,'Tower configuration'!$A$3:$DM$50,45,FALSE)/0.3048
                            -
                           VLOOKUP($A21,'Tower configuration'!$A$3:$DM$50,41,FALSE),2)),
                    0),
              0)</f>
        <v>43.89</v>
      </c>
      <c r="M21" s="668">
        <f>IFERROR(
            IF(ISNUMBER(VLOOKUP($A21,'Tower configuration'!$A$3:$DM$50,46,FALSE)),
                    ABS(ROUND(
                           VLOOKUP($A21,'Tower configuration'!$A$3:$DM$50,46,FALSE)/0.3048
                            -
                           VLOOKUP($A21,'Tower configuration'!$A$3:$DM$50,41,FALSE),2)),
                     0),
              0)</f>
        <v>63.58</v>
      </c>
      <c r="N21" s="668">
        <f>IFERROR(
            IF(ISNUMBER(VLOOKUP($A21,'Tower configuration'!$A$3:$DM$50,47,FALSE)),
                    ABS(ROUND(
                           VLOOKUP($A21,'Tower configuration'!$A$3:$DM$50,47,FALSE)/0.3048
                            -
                           VLOOKUP($A21,'Tower configuration'!$A$3:$DM$50,41,FALSE),2)),
                    0),
              0)</f>
        <v>89.82</v>
      </c>
      <c r="O21" s="668">
        <f>IFERROR(
            IF(ISNUMBER(VLOOKUP($A21,'Tower configuration'!$A$3:$DM$50,48,FALSE)),
                    ABS(ROUND(
                           VLOOKUP($A21,'Tower configuration'!$A$3:$DM$50,48,FALSE)/0.3048
                            -
                           VLOOKUP($A21,'Tower configuration'!$A$3:$DM$50,41,FALSE),2)),
                     0),
              0)</f>
        <v>0</v>
      </c>
      <c r="P21" s="351">
        <f>IFERROR(
            IF(ISNUMBER(VLOOKUP($A21,'Tower configuration'!$A$3:$DM$50,49,FALSE)),
                    ABS(ROUND(
                           VLOOKUP($A21,'Tower configuration'!$A$3:$DM$50,49,FALSE)/0.3048
                            -
                           VLOOKUP($A21,'Tower configuration'!$A$3:$DM$50,41,FALSE),2)),
                     0),
              0)</f>
        <v>0</v>
      </c>
      <c r="Q21" s="533">
        <f t="shared" si="0"/>
        <v>780</v>
      </c>
      <c r="R21" s="683">
        <f t="shared" si="1"/>
        <v>46.06</v>
      </c>
      <c r="S21" s="683">
        <f t="shared" si="2"/>
        <v>56.08</v>
      </c>
      <c r="T21" s="683">
        <f t="shared" si="3"/>
        <v>69.210000000000008</v>
      </c>
      <c r="U21" s="683">
        <f t="shared" si="4"/>
        <v>88.89</v>
      </c>
      <c r="V21" s="683">
        <f t="shared" si="5"/>
        <v>108.58</v>
      </c>
      <c r="W21" s="683">
        <f t="shared" si="6"/>
        <v>134.82</v>
      </c>
      <c r="X21" s="683">
        <f t="shared" si="7"/>
        <v>0</v>
      </c>
      <c r="Y21" s="683">
        <f t="shared" si="8"/>
        <v>0</v>
      </c>
      <c r="Z21" s="694">
        <f t="shared" si="14"/>
        <v>1283.6399999999999</v>
      </c>
      <c r="AA21" s="700">
        <f t="shared" si="9"/>
        <v>1540.3679999999997</v>
      </c>
      <c r="AB21" s="710">
        <f t="shared" si="10"/>
        <v>234</v>
      </c>
      <c r="AC21" s="694">
        <f t="shared" si="11"/>
        <v>1170</v>
      </c>
      <c r="AD21" s="700">
        <f t="shared" si="12"/>
        <v>1404</v>
      </c>
    </row>
    <row r="22" spans="1:30" ht="15.75" thickBot="1" x14ac:dyDescent="0.3">
      <c r="A22" s="565" t="s">
        <v>213</v>
      </c>
      <c r="B22" s="559" t="str">
        <f>VLOOKUP($A22,'TIS Site Config'!$A$3:$D$51,2,FALSE)</f>
        <v>D07</v>
      </c>
      <c r="C22" s="48" t="str">
        <f>VLOOKUP($A22,'TIS Site Config'!$A$3:$D$51,3,FALSE)</f>
        <v>E-FY15-4</v>
      </c>
      <c r="D22" s="560" t="str">
        <f>VLOOKUP($A22,'TIS Site Config'!$A$3:$D$51,4,FALSE)</f>
        <v>Great Smoky Mountains National Park, Twin Creeks</v>
      </c>
      <c r="E22" s="565">
        <v>100</v>
      </c>
      <c r="F22" s="559">
        <f>VLOOKUP($A22,'TIS Site Config'!$A$3:$AQ$51,10,FALSE)</f>
        <v>149</v>
      </c>
      <c r="G22" s="671">
        <f>VLOOKUP($A22,'TIS Site Config'!$A$3:$AQ$51,12,FALSE)</f>
        <v>13</v>
      </c>
      <c r="H22" s="558">
        <f t="shared" si="13"/>
        <v>6</v>
      </c>
      <c r="I22" s="671">
        <f>IFERROR(
            IF(ISNUMBER(VLOOKUP($A22,'Tower configuration'!$A$3:$DM$50,42,FALSE)),
                    ABS(ROUND(
                           VLOOKUP($A22,'Tower configuration'!$A$3:$DM$50,42,FALSE)/0.3048
                            -
                           VLOOKUP($A22,'Tower configuration'!$A$3:$DM$50,41,FALSE),2)),
                     0),
              0)</f>
        <v>1.18</v>
      </c>
      <c r="J22" s="671">
        <f>IFERROR(
            IF(ISNUMBER(VLOOKUP($A22,'Tower configuration'!$A$3:$DM$50,43,FALSE)),
                    ABS(ROUND(
                           VLOOKUP($A22,'Tower configuration'!$A$3:$DM$50,43,FALSE)/0.3048
                            -
                           VLOOKUP($A22,'Tower configuration'!$A$3:$DM$50,41,FALSE),2)),
                     0),
              0)</f>
        <v>20.8</v>
      </c>
      <c r="K22" s="671">
        <f>IFERROR(
            IF(ISNUMBER(VLOOKUP($A22,'Tower configuration'!$A$3:$DM$50,44,FALSE)),
                    ABS(ROUND(
                           VLOOKUP($A22,'Tower configuration'!$A$3:$DM$50,44,FALSE)/0.3048
                            -
                           VLOOKUP($A22,'Tower configuration'!$A$3:$DM$50,41,FALSE),2)),
                    0),
              0)</f>
        <v>50.33</v>
      </c>
      <c r="L22" s="671">
        <f>IFERROR(
            IF(ISNUMBER(VLOOKUP($A22,'Tower configuration'!$A$3:$DM$50,45,FALSE)),
                    ABS(ROUND(
                           VLOOKUP($A22,'Tower configuration'!$A$3:$DM$50,45,FALSE)/0.3048
                            -
                           VLOOKUP($A22,'Tower configuration'!$A$3:$DM$50,41,FALSE),2)),
                    0),
              0)</f>
        <v>79.849999999999994</v>
      </c>
      <c r="M22" s="671">
        <f>IFERROR(
            IF(ISNUMBER(VLOOKUP($A22,'Tower configuration'!$A$3:$DM$50,46,FALSE)),
                    ABS(ROUND(
                           VLOOKUP($A22,'Tower configuration'!$A$3:$DM$50,46,FALSE)/0.3048
                            -
                           VLOOKUP($A22,'Tower configuration'!$A$3:$DM$50,41,FALSE),2)),
                     0),
              0)</f>
        <v>109.38</v>
      </c>
      <c r="N22" s="671">
        <f>IFERROR(
            IF(ISNUMBER(VLOOKUP($A22,'Tower configuration'!$A$3:$DM$50,47,FALSE)),
                    ABS(ROUND(
                           VLOOKUP($A22,'Tower configuration'!$A$3:$DM$50,47,FALSE)/0.3048
                            -
                           VLOOKUP($A22,'Tower configuration'!$A$3:$DM$50,41,FALSE),2)),
                    0),
              0)</f>
        <v>145.47</v>
      </c>
      <c r="O22" s="671">
        <f>IFERROR(
            IF(ISNUMBER(VLOOKUP($A22,'Tower configuration'!$A$3:$DM$50,48,FALSE)),
                    ABS(ROUND(
                           VLOOKUP($A22,'Tower configuration'!$A$3:$DM$50,48,FALSE)/0.3048
                            -
                           VLOOKUP($A22,'Tower configuration'!$A$3:$DM$50,41,FALSE),2)),
                     0),
              0)</f>
        <v>0</v>
      </c>
      <c r="P22" s="353">
        <f>IFERROR(
            IF(ISNUMBER(VLOOKUP($A22,'Tower configuration'!$A$3:$DM$50,49,FALSE)),
                    ABS(ROUND(
                           VLOOKUP($A22,'Tower configuration'!$A$3:$DM$50,49,FALSE)/0.3048
                            -
                           VLOOKUP($A22,'Tower configuration'!$A$3:$DM$50,41,FALSE),2)),
                     0),
              0)</f>
        <v>0</v>
      </c>
      <c r="Q22" s="558">
        <f t="shared" si="0"/>
        <v>780</v>
      </c>
      <c r="R22" s="681">
        <f t="shared" si="1"/>
        <v>46.18</v>
      </c>
      <c r="S22" s="681">
        <f t="shared" si="2"/>
        <v>65.8</v>
      </c>
      <c r="T22" s="681">
        <f t="shared" si="3"/>
        <v>95.33</v>
      </c>
      <c r="U22" s="681">
        <f t="shared" si="4"/>
        <v>124.85</v>
      </c>
      <c r="V22" s="681">
        <f t="shared" si="5"/>
        <v>154.38</v>
      </c>
      <c r="W22" s="681">
        <f t="shared" si="6"/>
        <v>190.47</v>
      </c>
      <c r="X22" s="681">
        <f t="shared" si="7"/>
        <v>0</v>
      </c>
      <c r="Y22" s="681">
        <f t="shared" si="8"/>
        <v>0</v>
      </c>
      <c r="Z22" s="682">
        <f t="shared" si="14"/>
        <v>1457.01</v>
      </c>
      <c r="AA22" s="703">
        <f t="shared" si="9"/>
        <v>1748.412</v>
      </c>
      <c r="AB22" s="713">
        <f t="shared" si="10"/>
        <v>289</v>
      </c>
      <c r="AC22" s="682">
        <f t="shared" si="11"/>
        <v>1445</v>
      </c>
      <c r="AD22" s="703">
        <f t="shared" si="12"/>
        <v>1734</v>
      </c>
    </row>
    <row r="23" spans="1:30" x14ac:dyDescent="0.25">
      <c r="A23" s="515" t="s">
        <v>233</v>
      </c>
      <c r="B23" s="516" t="str">
        <f>VLOOKUP($A23,'TIS Site Config'!$A$3:$D$51,2,FALSE)</f>
        <v>D08</v>
      </c>
      <c r="C23" s="512" t="str">
        <f>VLOOKUP($A23,'TIS Site Config'!$A$3:$D$51,3,FALSE)</f>
        <v>B-FY15-1</v>
      </c>
      <c r="D23" s="564" t="str">
        <f>VLOOKUP($A23,'TIS Site Config'!$A$3:$D$51,4,FALSE)</f>
        <v>Talladega National Forest</v>
      </c>
      <c r="E23" s="515">
        <v>100</v>
      </c>
      <c r="F23" s="516">
        <f>VLOOKUP($A23,'TIS Site Config'!$A$3:$AQ$51,10,FALSE)</f>
        <v>116</v>
      </c>
      <c r="G23" s="590">
        <f>VLOOKUP($A23,'TIS Site Config'!$A$3:$AQ$51,12,FALSE)</f>
        <v>10</v>
      </c>
      <c r="H23" s="587">
        <f t="shared" si="13"/>
        <v>5</v>
      </c>
      <c r="I23" s="590">
        <f>IFERROR(
            IF(ISNUMBER(VLOOKUP($A23,'Tower configuration'!$A$3:$DM$50,42,FALSE)),
                    ABS(ROUND(
                           VLOOKUP($A23,'Tower configuration'!$A$3:$DM$50,42,FALSE)/0.3048
                            -
                           VLOOKUP($A23,'Tower configuration'!$A$3:$DM$50,41,FALSE),2)),
                     0),
              0)</f>
        <v>1.06</v>
      </c>
      <c r="J23" s="590">
        <f>IFERROR(
            IF(ISNUMBER(VLOOKUP($A23,'Tower configuration'!$A$3:$DM$50,43,FALSE)),
                    ABS(ROUND(
                           VLOOKUP($A23,'Tower configuration'!$A$3:$DM$50,43,FALSE)/0.3048
                            -
                           VLOOKUP($A23,'Tower configuration'!$A$3:$DM$50,41,FALSE),2)),
                     0),
              0)</f>
        <v>4.5199999999999996</v>
      </c>
      <c r="K23" s="590">
        <f>IFERROR(
            IF(ISNUMBER(VLOOKUP($A23,'Tower configuration'!$A$3:$DM$50,44,FALSE)),
                    ABS(ROUND(
                           VLOOKUP($A23,'Tower configuration'!$A$3:$DM$50,44,FALSE)/0.3048
                            -
                           VLOOKUP($A23,'Tower configuration'!$A$3:$DM$50,41,FALSE),2)),
                    0),
              0)</f>
        <v>70.14</v>
      </c>
      <c r="L23" s="590">
        <f>IFERROR(
            IF(ISNUMBER(VLOOKUP($A23,'Tower configuration'!$A$3:$DM$50,45,FALSE)),
                    ABS(ROUND(
                           VLOOKUP($A23,'Tower configuration'!$A$3:$DM$50,45,FALSE)/0.3048
                            -
                           VLOOKUP($A23,'Tower configuration'!$A$3:$DM$50,41,FALSE),2)),
                    0),
              0)</f>
        <v>89.82</v>
      </c>
      <c r="M23" s="590">
        <f>IFERROR(
            IF(ISNUMBER(VLOOKUP($A23,'Tower configuration'!$A$3:$DM$50,46,FALSE)),
                    ABS(ROUND(
                           VLOOKUP($A23,'Tower configuration'!$A$3:$DM$50,46,FALSE)/0.3048
                            -
                           VLOOKUP($A23,'Tower configuration'!$A$3:$DM$50,41,FALSE),2)),
                     0),
              0)</f>
        <v>112.79</v>
      </c>
      <c r="N23" s="590">
        <f>IFERROR(
            IF(ISNUMBER(VLOOKUP($A23,'Tower configuration'!$A$3:$DM$50,47,FALSE)),
                    ABS(ROUND(
                           VLOOKUP($A23,'Tower configuration'!$A$3:$DM$50,47,FALSE)/0.3048
                            -
                           VLOOKUP($A23,'Tower configuration'!$A$3:$DM$50,41,FALSE),2)),
                    0),
              0)</f>
        <v>0</v>
      </c>
      <c r="O23" s="590">
        <f>IFERROR(
            IF(ISNUMBER(VLOOKUP($A23,'Tower configuration'!$A$3:$DM$50,48,FALSE)),
                    ABS(ROUND(
                           VLOOKUP($A23,'Tower configuration'!$A$3:$DM$50,48,FALSE)/0.3048
                            -
                           VLOOKUP($A23,'Tower configuration'!$A$3:$DM$50,41,FALSE),2)),
                     0),
              0)</f>
        <v>0</v>
      </c>
      <c r="P23" s="513">
        <f>IFERROR(
            IF(ISNUMBER(VLOOKUP($A23,'Tower configuration'!$A$3:$DM$50,49,FALSE)),
                    ABS(ROUND(
                           VLOOKUP($A23,'Tower configuration'!$A$3:$DM$50,49,FALSE)/0.3048
                            -
                           VLOOKUP($A23,'Tower configuration'!$A$3:$DM$50,41,FALSE),2)),
                     0),
              0)</f>
        <v>0</v>
      </c>
      <c r="Q23" s="587">
        <f t="shared" si="0"/>
        <v>650</v>
      </c>
      <c r="R23" s="692">
        <f t="shared" si="1"/>
        <v>46.06</v>
      </c>
      <c r="S23" s="692">
        <f t="shared" si="2"/>
        <v>49.519999999999996</v>
      </c>
      <c r="T23" s="692">
        <f t="shared" si="3"/>
        <v>115.14</v>
      </c>
      <c r="U23" s="692">
        <f t="shared" si="4"/>
        <v>134.82</v>
      </c>
      <c r="V23" s="692">
        <f t="shared" si="5"/>
        <v>157.79000000000002</v>
      </c>
      <c r="W23" s="692">
        <f t="shared" si="6"/>
        <v>0</v>
      </c>
      <c r="X23" s="692">
        <f t="shared" si="7"/>
        <v>0</v>
      </c>
      <c r="Y23" s="692">
        <f t="shared" si="8"/>
        <v>0</v>
      </c>
      <c r="Z23" s="697">
        <f t="shared" si="14"/>
        <v>1153.33</v>
      </c>
      <c r="AA23" s="704">
        <f t="shared" si="9"/>
        <v>1383.9959999999999</v>
      </c>
      <c r="AB23" s="714">
        <f t="shared" si="10"/>
        <v>256</v>
      </c>
      <c r="AC23" s="697">
        <f t="shared" si="11"/>
        <v>1280</v>
      </c>
      <c r="AD23" s="704">
        <f t="shared" si="12"/>
        <v>1536</v>
      </c>
    </row>
    <row r="24" spans="1:30" x14ac:dyDescent="0.25">
      <c r="A24" s="530" t="s">
        <v>215</v>
      </c>
      <c r="B24" s="522" t="str">
        <f>VLOOKUP($A24,'TIS Site Config'!$A$3:$D$51,2,FALSE)</f>
        <v>D08</v>
      </c>
      <c r="C24" s="11" t="str">
        <f>VLOOKUP($A24,'TIS Site Config'!$A$3:$D$51,3,FALSE)</f>
        <v>A-FY14</v>
      </c>
      <c r="D24" s="531" t="str">
        <f>VLOOKUP($A24,'TIS Site Config'!$A$3:$D$51,4,FALSE)</f>
        <v>Dead Lake</v>
      </c>
      <c r="E24" s="530">
        <v>100</v>
      </c>
      <c r="F24" s="522">
        <f>VLOOKUP($A24,'TIS Site Config'!$A$3:$AQ$51,10,FALSE)</f>
        <v>138</v>
      </c>
      <c r="G24" s="668">
        <f>VLOOKUP($A24,'TIS Site Config'!$A$3:$AQ$51,12,FALSE)</f>
        <v>12</v>
      </c>
      <c r="H24" s="533">
        <f t="shared" si="13"/>
        <v>6</v>
      </c>
      <c r="I24" s="668">
        <f>IFERROR(
            IF(ISNUMBER(VLOOKUP($A24,'Tower configuration'!$A$3:$DM$50,42,FALSE)),
                    ABS(ROUND(
                           VLOOKUP($A24,'Tower configuration'!$A$3:$DM$50,42,FALSE)/0.3048
                            -
                           VLOOKUP($A24,'Tower configuration'!$A$3:$DM$50,41,FALSE),2)),
                     0),
              0)</f>
        <v>1.19</v>
      </c>
      <c r="J24" s="668">
        <f>IFERROR(
            IF(ISNUMBER(VLOOKUP($A24,'Tower configuration'!$A$3:$DM$50,43,FALSE)),
                    ABS(ROUND(
                           VLOOKUP($A24,'Tower configuration'!$A$3:$DM$50,43,FALSE)/0.3048
                            -
                           VLOOKUP($A24,'Tower configuration'!$A$3:$DM$50,41,FALSE),2)),
                     0),
              0)</f>
        <v>14.23</v>
      </c>
      <c r="K24" s="668">
        <f>IFERROR(
            IF(ISNUMBER(VLOOKUP($A24,'Tower configuration'!$A$3:$DM$50,44,FALSE)),
                    ABS(ROUND(
                           VLOOKUP($A24,'Tower configuration'!$A$3:$DM$50,44,FALSE)/0.3048
                            -
                           VLOOKUP($A24,'Tower configuration'!$A$3:$DM$50,41,FALSE),2)),
                    0),
              0)</f>
        <v>60.16</v>
      </c>
      <c r="L24" s="668">
        <f>IFERROR(
            IF(ISNUMBER(VLOOKUP($A24,'Tower configuration'!$A$3:$DM$50,45,FALSE)),
                    ABS(ROUND(
                           VLOOKUP($A24,'Tower configuration'!$A$3:$DM$50,45,FALSE)/0.3048
                            -
                           VLOOKUP($A24,'Tower configuration'!$A$3:$DM$50,41,FALSE),2)),
                    0),
              0)</f>
        <v>89.69</v>
      </c>
      <c r="M24" s="668">
        <f>IFERROR(
            IF(ISNUMBER(VLOOKUP($A24,'Tower configuration'!$A$3:$DM$50,46,FALSE)),
                    ABS(ROUND(
                           VLOOKUP($A24,'Tower configuration'!$A$3:$DM$50,46,FALSE)/0.3048
                            -
                           VLOOKUP($A24,'Tower configuration'!$A$3:$DM$50,41,FALSE),2)),
                     0),
              0)</f>
        <v>106.09</v>
      </c>
      <c r="N24" s="668">
        <f>IFERROR(
            IF(ISNUMBER(VLOOKUP($A24,'Tower configuration'!$A$3:$DM$50,47,FALSE)),
                    ABS(ROUND(
                           VLOOKUP($A24,'Tower configuration'!$A$3:$DM$50,47,FALSE)/0.3048
                            -
                           VLOOKUP($A24,'Tower configuration'!$A$3:$DM$50,41,FALSE),2)),
                    0),
              0)</f>
        <v>135.62</v>
      </c>
      <c r="O24" s="668">
        <f>IFERROR(
            IF(ISNUMBER(VLOOKUP($A24,'Tower configuration'!$A$3:$DM$50,48,FALSE)),
                    ABS(ROUND(
                           VLOOKUP($A24,'Tower configuration'!$A$3:$DM$50,48,FALSE)/0.3048
                            -
                           VLOOKUP($A24,'Tower configuration'!$A$3:$DM$50,41,FALSE),2)),
                     0),
              0)</f>
        <v>0</v>
      </c>
      <c r="P24" s="351">
        <f>IFERROR(
            IF(ISNUMBER(VLOOKUP($A24,'Tower configuration'!$A$3:$DM$50,49,FALSE)),
                    ABS(ROUND(
                           VLOOKUP($A24,'Tower configuration'!$A$3:$DM$50,49,FALSE)/0.3048
                            -
                           VLOOKUP($A24,'Tower configuration'!$A$3:$DM$50,41,FALSE),2)),
                     0),
              0)</f>
        <v>0</v>
      </c>
      <c r="Q24" s="533">
        <f t="shared" si="0"/>
        <v>780</v>
      </c>
      <c r="R24" s="683">
        <f t="shared" si="1"/>
        <v>46.19</v>
      </c>
      <c r="S24" s="683">
        <f t="shared" si="2"/>
        <v>59.230000000000004</v>
      </c>
      <c r="T24" s="683">
        <f t="shared" si="3"/>
        <v>105.16</v>
      </c>
      <c r="U24" s="683">
        <f t="shared" si="4"/>
        <v>134.69</v>
      </c>
      <c r="V24" s="683">
        <f t="shared" si="5"/>
        <v>151.09</v>
      </c>
      <c r="W24" s="683">
        <f t="shared" si="6"/>
        <v>180.62</v>
      </c>
      <c r="X24" s="683">
        <f t="shared" si="7"/>
        <v>0</v>
      </c>
      <c r="Y24" s="683">
        <f t="shared" si="8"/>
        <v>0</v>
      </c>
      <c r="Z24" s="694">
        <f t="shared" si="14"/>
        <v>1456.98</v>
      </c>
      <c r="AA24" s="700">
        <f t="shared" si="9"/>
        <v>1748.376</v>
      </c>
      <c r="AB24" s="710">
        <f t="shared" si="10"/>
        <v>278</v>
      </c>
      <c r="AC24" s="694">
        <f t="shared" si="11"/>
        <v>1390</v>
      </c>
      <c r="AD24" s="700">
        <f t="shared" si="12"/>
        <v>1668</v>
      </c>
    </row>
    <row r="25" spans="1:30" ht="15.75" thickBot="1" x14ac:dyDescent="0.3">
      <c r="A25" s="565" t="s">
        <v>216</v>
      </c>
      <c r="B25" s="559" t="str">
        <f>VLOOKUP($A25,'TIS Site Config'!$A$3:$D$51,2,FALSE)</f>
        <v>D08</v>
      </c>
      <c r="C25" s="48">
        <f>VLOOKUP($A25,'TIS Site Config'!$A$3:$D$51,3,FALSE)</f>
        <v>0</v>
      </c>
      <c r="D25" s="560" t="str">
        <f>VLOOKUP($A25,'TIS Site Config'!$A$3:$D$51,4,FALSE)</f>
        <v>Lenoir Landing</v>
      </c>
      <c r="E25" s="565">
        <v>100</v>
      </c>
      <c r="F25" s="559">
        <f>VLOOKUP($A25,'TIS Site Config'!$A$3:$AQ$51,10,FALSE)</f>
        <v>149</v>
      </c>
      <c r="G25" s="671">
        <f>VLOOKUP($A25,'TIS Site Config'!$A$3:$AQ$51,12,FALSE)</f>
        <v>13</v>
      </c>
      <c r="H25" s="558">
        <f t="shared" si="13"/>
        <v>6</v>
      </c>
      <c r="I25" s="671">
        <f>IFERROR(
            IF(ISNUMBER(VLOOKUP($A25,'Tower configuration'!$A$3:$DM$50,42,FALSE)),
                    ABS(ROUND(
                           VLOOKUP($A25,'Tower configuration'!$A$3:$DM$50,42,FALSE)/0.3048
                            -
                           VLOOKUP($A25,'Tower configuration'!$A$3:$DM$50,41,FALSE),2)),
                     0),
              0)</f>
        <v>1.18</v>
      </c>
      <c r="J25" s="671">
        <f>IFERROR(
            IF(ISNUMBER(VLOOKUP($A25,'Tower configuration'!$A$3:$DM$50,43,FALSE)),
                    ABS(ROUND(
                           VLOOKUP($A25,'Tower configuration'!$A$3:$DM$50,43,FALSE)/0.3048
                            -
                           VLOOKUP($A25,'Tower configuration'!$A$3:$DM$50,41,FALSE),2)),
                     0),
              0)</f>
        <v>4.4000000000000004</v>
      </c>
      <c r="K25" s="671">
        <f>IFERROR(
            IF(ISNUMBER(VLOOKUP($A25,'Tower configuration'!$A$3:$DM$50,44,FALSE)),
                    ABS(ROUND(
                           VLOOKUP($A25,'Tower configuration'!$A$3:$DM$50,44,FALSE)/0.3048
                            -
                           VLOOKUP($A25,'Tower configuration'!$A$3:$DM$50,41,FALSE),2)),
                    0),
              0)</f>
        <v>50.33</v>
      </c>
      <c r="L25" s="671">
        <f>IFERROR(
            IF(ISNUMBER(VLOOKUP($A25,'Tower configuration'!$A$3:$DM$50,45,FALSE)),
                    ABS(ROUND(
                           VLOOKUP($A25,'Tower configuration'!$A$3:$DM$50,45,FALSE)/0.3048
                            -
                           VLOOKUP($A25,'Tower configuration'!$A$3:$DM$50,41,FALSE),2)),
                    0),
              0)</f>
        <v>102.82</v>
      </c>
      <c r="M25" s="671">
        <f>IFERROR(
            IF(ISNUMBER(VLOOKUP($A25,'Tower configuration'!$A$3:$DM$50,46,FALSE)),
                    ABS(ROUND(
                           VLOOKUP($A25,'Tower configuration'!$A$3:$DM$50,46,FALSE)/0.3048
                            -
                           VLOOKUP($A25,'Tower configuration'!$A$3:$DM$50,41,FALSE),2)),
                     0),
              0)</f>
        <v>122.51</v>
      </c>
      <c r="N25" s="682">
        <f>IFERROR(
            IF(ISNUMBER(VLOOKUP($A25,'Tower configuration'!$A$3:$DM$50,47,FALSE)),
                    ABS(ROUND(
                           VLOOKUP($A25,'Tower configuration'!$A$3:$DM$50,47,FALSE)/0.3048
                            -
                           VLOOKUP($A25,'Tower configuration'!$A$3:$DM$50,41,FALSE),2)),
                    0),
              0)</f>
        <v>145.47</v>
      </c>
      <c r="O25" s="671">
        <f>IFERROR(
            IF(ISNUMBER(VLOOKUP($A25,'Tower configuration'!$A$3:$DM$50,48,FALSE)),
                    ABS(ROUND(
                           VLOOKUP($A25,'Tower configuration'!$A$3:$DM$50,48,FALSE)/0.3048
                            -
                           VLOOKUP($A25,'Tower configuration'!$A$3:$DM$50,41,FALSE),2)),
                     0),
              0)</f>
        <v>0</v>
      </c>
      <c r="P25" s="353">
        <f>IFERROR(
            IF(ISNUMBER(VLOOKUP($A25,'Tower configuration'!$A$3:$DM$50,49,FALSE)),
                    ABS(ROUND(
                           VLOOKUP($A25,'Tower configuration'!$A$3:$DM$50,49,FALSE)/0.3048
                            -
                           VLOOKUP($A25,'Tower configuration'!$A$3:$DM$50,41,FALSE),2)),
                     0),
              0)</f>
        <v>0</v>
      </c>
      <c r="Q25" s="558">
        <f t="shared" si="0"/>
        <v>780</v>
      </c>
      <c r="R25" s="681">
        <f t="shared" si="1"/>
        <v>46.18</v>
      </c>
      <c r="S25" s="681">
        <f t="shared" si="2"/>
        <v>49.4</v>
      </c>
      <c r="T25" s="681">
        <f t="shared" si="3"/>
        <v>95.33</v>
      </c>
      <c r="U25" s="681">
        <f t="shared" si="4"/>
        <v>147.82</v>
      </c>
      <c r="V25" s="681">
        <f t="shared" si="5"/>
        <v>167.51</v>
      </c>
      <c r="W25" s="681">
        <f t="shared" si="6"/>
        <v>190.47</v>
      </c>
      <c r="X25" s="681">
        <f t="shared" si="7"/>
        <v>0</v>
      </c>
      <c r="Y25" s="681">
        <f t="shared" si="8"/>
        <v>0</v>
      </c>
      <c r="Z25" s="682">
        <f t="shared" si="14"/>
        <v>1476.71</v>
      </c>
      <c r="AA25" s="703">
        <f t="shared" si="9"/>
        <v>1772.0519999999999</v>
      </c>
      <c r="AB25" s="713">
        <f t="shared" si="10"/>
        <v>289</v>
      </c>
      <c r="AC25" s="682">
        <f t="shared" si="11"/>
        <v>1445</v>
      </c>
      <c r="AD25" s="703">
        <f t="shared" si="12"/>
        <v>1734</v>
      </c>
    </row>
    <row r="26" spans="1:30" x14ac:dyDescent="0.25">
      <c r="A26" s="587" t="s">
        <v>234</v>
      </c>
      <c r="B26" s="516" t="str">
        <f>VLOOKUP($A26,'TIS Site Config'!$A$3:$D$51,2,FALSE)</f>
        <v>D09</v>
      </c>
      <c r="C26" s="512" t="str">
        <f>VLOOKUP($A26,'TIS Site Config'!$A$3:$D$51,3,FALSE)</f>
        <v>C-FY15-2</v>
      </c>
      <c r="D26" s="564" t="str">
        <f>VLOOKUP($A26,'TIS Site Config'!$A$3:$D$51,4,FALSE)</f>
        <v>Woodworth</v>
      </c>
      <c r="E26" s="587">
        <v>100</v>
      </c>
      <c r="F26" s="516">
        <f>VLOOKUP($A26,'TIS Site Config'!$A$3:$AQ$51,10,FALSE)</f>
        <v>26</v>
      </c>
      <c r="G26" s="590">
        <f>VLOOKUP($A26,'TIS Site Config'!$A$3:$AQ$51,12,FALSE)</f>
        <v>2</v>
      </c>
      <c r="H26" s="587">
        <f t="shared" si="13"/>
        <v>4</v>
      </c>
      <c r="I26" s="590">
        <f>IFERROR(
            IF(ISNUMBER(VLOOKUP($A26,'Tower configuration'!$A$3:$DM$50,42,FALSE)),
                    ABS(ROUND(
                           VLOOKUP($A26,'Tower configuration'!$A$3:$DM$50,42,FALSE)/0.3048
                            -
                           VLOOKUP($A26,'Tower configuration'!$A$3:$DM$50,41,FALSE),2)),
                     0),
              0)</f>
        <v>0.51</v>
      </c>
      <c r="J26" s="590">
        <f>IFERROR(
            IF(ISNUMBER(VLOOKUP($A26,'Tower configuration'!$A$3:$DM$50,43,FALSE)),
                    ABS(ROUND(
                           VLOOKUP($A26,'Tower configuration'!$A$3:$DM$50,43,FALSE)/0.3048
                            -
                           VLOOKUP($A26,'Tower configuration'!$A$3:$DM$50,41,FALSE),2)),
                     0),
              0)</f>
        <v>2.11</v>
      </c>
      <c r="K26" s="590">
        <f>IFERROR(
            IF(ISNUMBER(VLOOKUP($A26,'Tower configuration'!$A$3:$DM$50,44,FALSE)),
                    ABS(ROUND(
                           VLOOKUP($A26,'Tower configuration'!$A$3:$DM$50,44,FALSE)/0.3048
                            -
                           VLOOKUP($A26,'Tower configuration'!$A$3:$DM$50,41,FALSE),2)),
                    0),
              0)</f>
        <v>10.32</v>
      </c>
      <c r="L26" s="590">
        <f>IFERROR(
            IF(ISNUMBER(VLOOKUP($A26,'Tower configuration'!$A$3:$DM$50,45,FALSE)),
                    ABS(ROUND(
                           VLOOKUP($A26,'Tower configuration'!$A$3:$DM$50,45,FALSE)/0.3048
                            -
                           VLOOKUP($A26,'Tower configuration'!$A$3:$DM$50,41,FALSE),2)),
                    0),
              0)</f>
        <v>18.52</v>
      </c>
      <c r="M26" s="590">
        <f>IFERROR(
            IF(ISNUMBER(VLOOKUP($A26,'Tower configuration'!$A$3:$DM$50,46,FALSE)),
                    ABS(ROUND(
                           VLOOKUP($A26,'Tower configuration'!$A$3:$DM$50,46,FALSE)/0.3048
                            -
                           VLOOKUP($A26,'Tower configuration'!$A$3:$DM$50,41,FALSE),2)),
                     0),
              0)</f>
        <v>0</v>
      </c>
      <c r="N26" s="590">
        <f>IFERROR(
            IF(ISNUMBER(VLOOKUP($A26,'Tower configuration'!$A$3:$DM$50,47,FALSE)),
                    ABS(ROUND(
                           VLOOKUP($A26,'Tower configuration'!$A$3:$DM$50,47,FALSE)/0.3048
                            -
                           VLOOKUP($A26,'Tower configuration'!$A$3:$DM$50,41,FALSE),2)),
                    0),
              0)</f>
        <v>0</v>
      </c>
      <c r="O26" s="590">
        <f>IFERROR(
            IF(ISNUMBER(VLOOKUP($A26,'Tower configuration'!$A$3:$DM$50,48,FALSE)),
                    ABS(ROUND(
                           VLOOKUP($A26,'Tower configuration'!$A$3:$DM$50,48,FALSE)/0.3048
                            -
                           VLOOKUP($A26,'Tower configuration'!$A$3:$DM$50,41,FALSE),2)),
                     0),
              0)</f>
        <v>0</v>
      </c>
      <c r="P26" s="513">
        <f>IFERROR(
            IF(ISNUMBER(VLOOKUP($A26,'Tower configuration'!$A$3:$DM$50,49,FALSE)),
                    ABS(ROUND(
                           VLOOKUP($A26,'Tower configuration'!$A$3:$DM$50,49,FALSE)/0.3048
                            -
                           VLOOKUP($A26,'Tower configuration'!$A$3:$DM$50,41,FALSE),2)),
                     0),
              0)</f>
        <v>0</v>
      </c>
      <c r="Q26" s="587">
        <f t="shared" si="0"/>
        <v>520</v>
      </c>
      <c r="R26" s="692">
        <f t="shared" si="1"/>
        <v>45.510000000000005</v>
      </c>
      <c r="S26" s="692">
        <f t="shared" si="2"/>
        <v>47.11</v>
      </c>
      <c r="T26" s="692">
        <f t="shared" si="3"/>
        <v>55.32</v>
      </c>
      <c r="U26" s="692">
        <f t="shared" si="4"/>
        <v>63.519999999999996</v>
      </c>
      <c r="V26" s="692">
        <f t="shared" si="5"/>
        <v>0</v>
      </c>
      <c r="W26" s="692">
        <f t="shared" si="6"/>
        <v>0</v>
      </c>
      <c r="X26" s="692">
        <f t="shared" si="7"/>
        <v>0</v>
      </c>
      <c r="Y26" s="692">
        <f t="shared" si="8"/>
        <v>0</v>
      </c>
      <c r="Z26" s="697">
        <f t="shared" si="14"/>
        <v>731.46</v>
      </c>
      <c r="AA26" s="704">
        <f t="shared" si="9"/>
        <v>877.75200000000007</v>
      </c>
      <c r="AB26" s="714">
        <f t="shared" si="10"/>
        <v>166</v>
      </c>
      <c r="AC26" s="697">
        <f t="shared" si="11"/>
        <v>830</v>
      </c>
      <c r="AD26" s="704">
        <f t="shared" si="12"/>
        <v>996</v>
      </c>
    </row>
    <row r="27" spans="1:30" x14ac:dyDescent="0.25">
      <c r="A27" s="533" t="s">
        <v>217</v>
      </c>
      <c r="B27" s="522" t="str">
        <f>VLOOKUP($A27,'TIS Site Config'!$A$3:$D$51,2,FALSE)</f>
        <v>D09</v>
      </c>
      <c r="C27" s="11" t="str">
        <f>VLOOKUP($A27,'TIS Site Config'!$A$3:$D$51,3,FALSE)</f>
        <v>C-FY15-2</v>
      </c>
      <c r="D27" s="531" t="str">
        <f>VLOOKUP($A27,'TIS Site Config'!$A$3:$D$51,4,FALSE)</f>
        <v>Dakota Coteau Field School</v>
      </c>
      <c r="E27" s="533">
        <v>100</v>
      </c>
      <c r="F27" s="522">
        <f>VLOOKUP($A27,'TIS Site Config'!$A$3:$AQ$51,10,FALSE)</f>
        <v>26</v>
      </c>
      <c r="G27" s="668">
        <f>VLOOKUP($A27,'TIS Site Config'!$A$3:$AQ$51,12,FALSE)</f>
        <v>2</v>
      </c>
      <c r="H27" s="533">
        <f t="shared" si="13"/>
        <v>4</v>
      </c>
      <c r="I27" s="668">
        <f>IFERROR(
            IF(ISNUMBER(VLOOKUP($A27,'Tower configuration'!$A$3:$DM$50,42,FALSE)),
                    ABS(ROUND(
                           VLOOKUP($A27,'Tower configuration'!$A$3:$DM$50,42,FALSE)/0.3048
                            -
                           VLOOKUP($A27,'Tower configuration'!$A$3:$DM$50,41,FALSE),2)),
                     0),
              0)</f>
        <v>0.27</v>
      </c>
      <c r="J27" s="668">
        <f>IFERROR(
            IF(ISNUMBER(VLOOKUP($A27,'Tower configuration'!$A$3:$DM$50,43,FALSE)),
                    ABS(ROUND(
                           VLOOKUP($A27,'Tower configuration'!$A$3:$DM$50,43,FALSE)/0.3048
                            -
                           VLOOKUP($A27,'Tower configuration'!$A$3:$DM$50,41,FALSE),2)),
                     0),
              0)</f>
        <v>3.67</v>
      </c>
      <c r="K27" s="668">
        <f>IFERROR(
            IF(ISNUMBER(VLOOKUP($A27,'Tower configuration'!$A$3:$DM$50,44,FALSE)),
                    ABS(ROUND(
                           VLOOKUP($A27,'Tower configuration'!$A$3:$DM$50,44,FALSE)/0.3048
                            -
                           VLOOKUP($A27,'Tower configuration'!$A$3:$DM$50,41,FALSE),2)),
                    0),
              0)</f>
        <v>11.87</v>
      </c>
      <c r="L27" s="668">
        <f>IFERROR(
            IF(ISNUMBER(VLOOKUP($A27,'Tower configuration'!$A$3:$DM$50,45,FALSE)),
                    ABS(ROUND(
                           VLOOKUP($A27,'Tower configuration'!$A$3:$DM$50,45,FALSE)/0.3048
                            -
                           VLOOKUP($A27,'Tower configuration'!$A$3:$DM$50,41,FALSE),2)),
                    0),
              0)</f>
        <v>18.440000000000001</v>
      </c>
      <c r="M27" s="668">
        <f>IFERROR(
            IF(ISNUMBER(VLOOKUP($A27,'Tower configuration'!$A$3:$DM$50,46,FALSE)),
                    ABS(ROUND(
                           VLOOKUP($A27,'Tower configuration'!$A$3:$DM$50,46,FALSE)/0.3048
                            -
                           VLOOKUP($A27,'Tower configuration'!$A$3:$DM$50,41,FALSE),2)),
                     0),
              0)</f>
        <v>0</v>
      </c>
      <c r="N27" s="668">
        <f>IFERROR(
            IF(ISNUMBER(VLOOKUP($A27,'Tower configuration'!$A$3:$DM$50,47,FALSE)),
                    ABS(ROUND(
                           VLOOKUP($A27,'Tower configuration'!$A$3:$DM$50,47,FALSE)/0.3048
                            -
                           VLOOKUP($A27,'Tower configuration'!$A$3:$DM$50,41,FALSE),2)),
                    0),
              0)</f>
        <v>0</v>
      </c>
      <c r="O27" s="668">
        <f>IFERROR(
            IF(ISNUMBER(VLOOKUP($A27,'Tower configuration'!$A$3:$DM$50,48,FALSE)),
                    ABS(ROUND(
                           VLOOKUP($A27,'Tower configuration'!$A$3:$DM$50,48,FALSE)/0.3048
                            -
                           VLOOKUP($A27,'Tower configuration'!$A$3:$DM$50,41,FALSE),2)),
                     0),
              0)</f>
        <v>0</v>
      </c>
      <c r="P27" s="351">
        <f>IFERROR(
            IF(ISNUMBER(VLOOKUP($A27,'Tower configuration'!$A$3:$DM$50,49,FALSE)),
                    ABS(ROUND(
                           VLOOKUP($A27,'Tower configuration'!$A$3:$DM$50,49,FALSE)/0.3048
                            -
                           VLOOKUP($A27,'Tower configuration'!$A$3:$DM$50,41,FALSE),2)),
                     0),
              0)</f>
        <v>0</v>
      </c>
      <c r="Q27" s="533">
        <f t="shared" si="0"/>
        <v>520</v>
      </c>
      <c r="R27" s="683">
        <f t="shared" si="1"/>
        <v>45.269999999999996</v>
      </c>
      <c r="S27" s="683">
        <f t="shared" si="2"/>
        <v>48.67</v>
      </c>
      <c r="T27" s="683">
        <f t="shared" si="3"/>
        <v>56.87</v>
      </c>
      <c r="U27" s="683">
        <f t="shared" si="4"/>
        <v>63.44</v>
      </c>
      <c r="V27" s="683">
        <f t="shared" si="5"/>
        <v>0</v>
      </c>
      <c r="W27" s="683">
        <f t="shared" si="6"/>
        <v>0</v>
      </c>
      <c r="X27" s="683">
        <f t="shared" si="7"/>
        <v>0</v>
      </c>
      <c r="Y27" s="683">
        <f t="shared" si="8"/>
        <v>0</v>
      </c>
      <c r="Z27" s="694">
        <f t="shared" si="14"/>
        <v>734.25</v>
      </c>
      <c r="AA27" s="700">
        <f t="shared" si="9"/>
        <v>881.1</v>
      </c>
      <c r="AB27" s="710">
        <f t="shared" si="10"/>
        <v>166</v>
      </c>
      <c r="AC27" s="694">
        <f t="shared" si="11"/>
        <v>830</v>
      </c>
      <c r="AD27" s="700">
        <f t="shared" si="12"/>
        <v>996</v>
      </c>
    </row>
    <row r="28" spans="1:30" ht="15.75" thickBot="1" x14ac:dyDescent="0.3">
      <c r="A28" s="558" t="s">
        <v>218</v>
      </c>
      <c r="B28" s="559" t="str">
        <f>VLOOKUP($A28,'TIS Site Config'!$A$3:$D$51,2,FALSE)</f>
        <v>D09</v>
      </c>
      <c r="C28" s="48">
        <f>VLOOKUP($A28,'TIS Site Config'!$A$3:$D$51,3,FALSE)</f>
        <v>0</v>
      </c>
      <c r="D28" s="560" t="str">
        <f>VLOOKUP($A28,'TIS Site Config'!$A$3:$D$51,4,FALSE)</f>
        <v>Northern Great Plains Research Laboratory</v>
      </c>
      <c r="E28" s="558">
        <v>100</v>
      </c>
      <c r="F28" s="559">
        <f>VLOOKUP($A28,'TIS Site Config'!$A$3:$AQ$51,10,FALSE)</f>
        <v>26</v>
      </c>
      <c r="G28" s="671">
        <f>VLOOKUP($A28,'TIS Site Config'!$A$3:$AQ$51,12,FALSE)</f>
        <v>2</v>
      </c>
      <c r="H28" s="558">
        <f t="shared" si="13"/>
        <v>4</v>
      </c>
      <c r="I28" s="671">
        <f>IFERROR(
            IF(ISNUMBER(VLOOKUP($A28,'Tower configuration'!$A$3:$DM$50,42,FALSE)),
                    ABS(ROUND(
                           VLOOKUP($A28,'Tower configuration'!$A$3:$DM$50,42,FALSE)/0.3048
                            -
                           VLOOKUP($A28,'Tower configuration'!$A$3:$DM$50,41,FALSE),2)),
                     0),
              0)</f>
        <v>0.35</v>
      </c>
      <c r="J28" s="671">
        <f>IFERROR(
            IF(ISNUMBER(VLOOKUP($A28,'Tower configuration'!$A$3:$DM$50,43,FALSE)),
                    ABS(ROUND(
                           VLOOKUP($A28,'Tower configuration'!$A$3:$DM$50,43,FALSE)/0.3048
                            -
                           VLOOKUP($A28,'Tower configuration'!$A$3:$DM$50,41,FALSE),2)),
                     0),
              0)</f>
        <v>1.95</v>
      </c>
      <c r="K28" s="671">
        <f>IFERROR(
            IF(ISNUMBER(VLOOKUP($A28,'Tower configuration'!$A$3:$DM$50,44,FALSE)),
                    ABS(ROUND(
                           VLOOKUP($A28,'Tower configuration'!$A$3:$DM$50,44,FALSE)/0.3048
                            -
                           VLOOKUP($A28,'Tower configuration'!$A$3:$DM$50,41,FALSE),2)),
                    0),
              0)</f>
        <v>10.15</v>
      </c>
      <c r="L28" s="671">
        <f>IFERROR(
            IF(ISNUMBER(VLOOKUP($A28,'Tower configuration'!$A$3:$DM$50,45,FALSE)),
                    ABS(ROUND(
                           VLOOKUP($A28,'Tower configuration'!$A$3:$DM$50,45,FALSE)/0.3048
                            -
                           VLOOKUP($A28,'Tower configuration'!$A$3:$DM$50,41,FALSE),2)),
                    0),
              0)</f>
        <v>18.350000000000001</v>
      </c>
      <c r="M28" s="671">
        <f>IFERROR(
            IF(ISNUMBER(VLOOKUP($A28,'Tower configuration'!$A$3:$DM$50,46,FALSE)),
                    ABS(ROUND(
                           VLOOKUP($A28,'Tower configuration'!$A$3:$DM$50,46,FALSE)/0.3048
                            -
                           VLOOKUP($A28,'Tower configuration'!$A$3:$DM$50,41,FALSE),2)),
                     0),
              0)</f>
        <v>0</v>
      </c>
      <c r="N28" s="671">
        <f>IFERROR(
            IF(ISNUMBER(VLOOKUP($A28,'Tower configuration'!$A$3:$DM$50,47,FALSE)),
                    ABS(ROUND(
                           VLOOKUP($A28,'Tower configuration'!$A$3:$DM$50,47,FALSE)/0.3048
                            -
                           VLOOKUP($A28,'Tower configuration'!$A$3:$DM$50,41,FALSE),2)),
                    0),
              0)</f>
        <v>0</v>
      </c>
      <c r="O28" s="671">
        <f>IFERROR(
            IF(ISNUMBER(VLOOKUP($A28,'Tower configuration'!$A$3:$DM$50,48,FALSE)),
                    ABS(ROUND(
                           VLOOKUP($A28,'Tower configuration'!$A$3:$DM$50,48,FALSE)/0.3048
                            -
                           VLOOKUP($A28,'Tower configuration'!$A$3:$DM$50,41,FALSE),2)),
                     0),
              0)</f>
        <v>0</v>
      </c>
      <c r="P28" s="353">
        <f>IFERROR(
            IF(ISNUMBER(VLOOKUP($A28,'Tower configuration'!$A$3:$DM$50,49,FALSE)),
                    ABS(ROUND(
                           VLOOKUP($A28,'Tower configuration'!$A$3:$DM$50,49,FALSE)/0.3048
                            -
                           VLOOKUP($A28,'Tower configuration'!$A$3:$DM$50,41,FALSE),2)),
                     0),
              0)</f>
        <v>0</v>
      </c>
      <c r="Q28" s="558">
        <f t="shared" si="0"/>
        <v>520</v>
      </c>
      <c r="R28" s="681">
        <f t="shared" si="1"/>
        <v>45.35</v>
      </c>
      <c r="S28" s="681">
        <f t="shared" si="2"/>
        <v>46.95</v>
      </c>
      <c r="T28" s="681">
        <f t="shared" si="3"/>
        <v>55.15</v>
      </c>
      <c r="U28" s="681">
        <f t="shared" si="4"/>
        <v>63.35</v>
      </c>
      <c r="V28" s="681">
        <f t="shared" si="5"/>
        <v>0</v>
      </c>
      <c r="W28" s="681">
        <f t="shared" si="6"/>
        <v>0</v>
      </c>
      <c r="X28" s="681">
        <f t="shared" si="7"/>
        <v>0</v>
      </c>
      <c r="Y28" s="681">
        <f t="shared" si="8"/>
        <v>0</v>
      </c>
      <c r="Z28" s="682">
        <f t="shared" si="14"/>
        <v>730.80000000000007</v>
      </c>
      <c r="AA28" s="703">
        <f t="shared" si="9"/>
        <v>876.96</v>
      </c>
      <c r="AB28" s="713">
        <f t="shared" si="10"/>
        <v>166</v>
      </c>
      <c r="AC28" s="682">
        <f t="shared" si="11"/>
        <v>830</v>
      </c>
      <c r="AD28" s="703">
        <f t="shared" si="12"/>
        <v>996</v>
      </c>
    </row>
    <row r="29" spans="1:30" x14ac:dyDescent="0.25">
      <c r="A29" s="587" t="s">
        <v>21</v>
      </c>
      <c r="B29" s="516" t="str">
        <f>VLOOKUP($A29,'TIS Site Config'!$A$3:$D$51,2,FALSE)</f>
        <v>D10</v>
      </c>
      <c r="C29" s="512" t="str">
        <f>VLOOKUP($A29,'TIS Site Config'!$A$3:$D$51,3,FALSE)</f>
        <v>0-FY13</v>
      </c>
      <c r="D29" s="564" t="str">
        <f>VLOOKUP($A29,'TIS Site Config'!$A$3:$D$51,4,FALSE)</f>
        <v>Central Plains Experimental Range</v>
      </c>
      <c r="E29" s="587">
        <v>100</v>
      </c>
      <c r="F29" s="516">
        <f>VLOOKUP($A29,'TIS Site Config'!$A$3:$AQ$51,10,FALSE)</f>
        <v>26</v>
      </c>
      <c r="G29" s="590">
        <f>VLOOKUP($A29,'TIS Site Config'!$A$3:$AQ$51,12,FALSE)</f>
        <v>2</v>
      </c>
      <c r="H29" s="587">
        <f t="shared" si="13"/>
        <v>4</v>
      </c>
      <c r="I29" s="590">
        <f>IFERROR(
            IF(ISNUMBER(VLOOKUP($A29,'Tower configuration'!$A$3:$DM$50,42,FALSE)),
                    ABS(ROUND(
                           VLOOKUP($A29,'Tower configuration'!$A$3:$DM$50,42,FALSE)/0.3048
                            -
                           VLOOKUP($A29,'Tower configuration'!$A$3:$DM$50,41,FALSE),2)),
                     0),
              0)</f>
        <v>1.38</v>
      </c>
      <c r="J29" s="590">
        <f>IFERROR(
            IF(ISNUMBER(VLOOKUP($A29,'Tower configuration'!$A$3:$DM$50,43,FALSE)),
                    ABS(ROUND(
                           VLOOKUP($A29,'Tower configuration'!$A$3:$DM$50,43,FALSE)/0.3048
                            -
                           VLOOKUP($A29,'Tower configuration'!$A$3:$DM$50,41,FALSE),2)),
                     0),
              0)</f>
        <v>5.54</v>
      </c>
      <c r="K29" s="590">
        <f>IFERROR(
            IF(ISNUMBER(VLOOKUP($A29,'Tower configuration'!$A$3:$DM$50,44,FALSE)),
                    ABS(ROUND(
                           VLOOKUP($A29,'Tower configuration'!$A$3:$DM$50,44,FALSE)/0.3048
                            -
                           VLOOKUP($A29,'Tower configuration'!$A$3:$DM$50,41,FALSE),2)),
                    0),
              0)</f>
        <v>10.46</v>
      </c>
      <c r="L29" s="590">
        <f>IFERROR(
            IF(ISNUMBER(VLOOKUP($A29,'Tower configuration'!$A$3:$DM$50,45,FALSE)),
                    ABS(ROUND(
                           VLOOKUP($A29,'Tower configuration'!$A$3:$DM$50,45,FALSE)/0.3048
                            -
                           VLOOKUP($A29,'Tower configuration'!$A$3:$DM$50,41,FALSE),2)),
                    0),
              0)</f>
        <v>24.37</v>
      </c>
      <c r="M29" s="590">
        <f>IFERROR(
            IF(ISNUMBER(VLOOKUP($A29,'Tower configuration'!$A$3:$DM$50,46,FALSE)),
                    ABS(ROUND(
                           VLOOKUP($A29,'Tower configuration'!$A$3:$DM$50,46,FALSE)/0.3048
                            -
                           VLOOKUP($A29,'Tower configuration'!$A$3:$DM$50,41,FALSE),2)),
                     0),
              0)</f>
        <v>0</v>
      </c>
      <c r="N29" s="590">
        <f>IFERROR(
            IF(ISNUMBER(VLOOKUP($A29,'Tower configuration'!$A$3:$DM$50,47,FALSE)),
                    ABS(ROUND(
                           VLOOKUP($A29,'Tower configuration'!$A$3:$DM$50,47,FALSE)/0.3048
                            -
                           VLOOKUP($A29,'Tower configuration'!$A$3:$DM$50,41,FALSE),2)),
                    0),
              0)</f>
        <v>0</v>
      </c>
      <c r="O29" s="590">
        <f>IFERROR(
            IF(ISNUMBER(VLOOKUP($A29,'Tower configuration'!$A$3:$DM$50,48,FALSE)),
                    ABS(ROUND(
                           VLOOKUP($A29,'Tower configuration'!$A$3:$DM$50,48,FALSE)/0.3048
                            -
                           VLOOKUP($A29,'Tower configuration'!$A$3:$DM$50,41,FALSE),2)),
                     0),
              0)</f>
        <v>0</v>
      </c>
      <c r="P29" s="513">
        <f>IFERROR(
            IF(ISNUMBER(VLOOKUP($A29,'Tower configuration'!$A$3:$DM$50,49,FALSE)),
                    ABS(ROUND(
                           VLOOKUP($A29,'Tower configuration'!$A$3:$DM$50,49,FALSE)/0.3048
                            -
                           VLOOKUP($A29,'Tower configuration'!$A$3:$DM$50,41,FALSE),2)),
                     0),
              0)</f>
        <v>0</v>
      </c>
      <c r="Q29" s="587">
        <f t="shared" si="0"/>
        <v>520</v>
      </c>
      <c r="R29" s="692">
        <f t="shared" si="1"/>
        <v>46.379999999999995</v>
      </c>
      <c r="S29" s="692">
        <f t="shared" si="2"/>
        <v>50.54</v>
      </c>
      <c r="T29" s="692">
        <f t="shared" si="3"/>
        <v>55.46</v>
      </c>
      <c r="U29" s="692">
        <f t="shared" si="4"/>
        <v>69.37</v>
      </c>
      <c r="V29" s="692">
        <f t="shared" si="5"/>
        <v>0</v>
      </c>
      <c r="W29" s="692">
        <f t="shared" si="6"/>
        <v>0</v>
      </c>
      <c r="X29" s="692">
        <f t="shared" si="7"/>
        <v>0</v>
      </c>
      <c r="Y29" s="692">
        <f t="shared" si="8"/>
        <v>0</v>
      </c>
      <c r="Z29" s="697">
        <f t="shared" si="14"/>
        <v>741.75</v>
      </c>
      <c r="AA29" s="704">
        <f t="shared" si="9"/>
        <v>890.1</v>
      </c>
      <c r="AB29" s="714">
        <f t="shared" si="10"/>
        <v>166</v>
      </c>
      <c r="AC29" s="697">
        <f t="shared" si="11"/>
        <v>830</v>
      </c>
      <c r="AD29" s="704">
        <f t="shared" si="12"/>
        <v>996</v>
      </c>
    </row>
    <row r="30" spans="1:30" x14ac:dyDescent="0.25">
      <c r="A30" s="533" t="s">
        <v>20</v>
      </c>
      <c r="B30" s="522" t="str">
        <f>VLOOKUP($A30,'TIS Site Config'!$A$3:$D$51,2,FALSE)</f>
        <v>D10</v>
      </c>
      <c r="C30" s="11" t="str">
        <f>VLOOKUP($A30,'TIS Site Config'!$A$3:$D$51,3,FALSE)</f>
        <v>0-FY13</v>
      </c>
      <c r="D30" s="531" t="str">
        <f>VLOOKUP($A30,'TIS Site Config'!$A$3:$D$51,4,FALSE)</f>
        <v>North Sterling, CO</v>
      </c>
      <c r="E30" s="533">
        <v>100</v>
      </c>
      <c r="F30" s="522">
        <f>VLOOKUP($A30,'TIS Site Config'!$A$3:$AQ$51,10,FALSE)</f>
        <v>26</v>
      </c>
      <c r="G30" s="668">
        <f>VLOOKUP($A30,'TIS Site Config'!$A$3:$AQ$51,12,FALSE)</f>
        <v>2</v>
      </c>
      <c r="H30" s="533">
        <f t="shared" si="13"/>
        <v>4</v>
      </c>
      <c r="I30" s="668">
        <f>IFERROR(
            IF(ISNUMBER(VLOOKUP($A30,'Tower configuration'!$A$3:$DM$50,42,FALSE)),
                    ABS(ROUND(
                           VLOOKUP($A30,'Tower configuration'!$A$3:$DM$50,42,FALSE)/0.3048
                            -
                           VLOOKUP($A30,'Tower configuration'!$A$3:$DM$50,41,FALSE),2)),
                     0),
              0)</f>
        <v>0.27</v>
      </c>
      <c r="J30" s="668">
        <f>IFERROR(
            IF(ISNUMBER(VLOOKUP($A30,'Tower configuration'!$A$3:$DM$50,43,FALSE)),
                    ABS(ROUND(
                           VLOOKUP($A30,'Tower configuration'!$A$3:$DM$50,43,FALSE)/0.3048
                            -
                           VLOOKUP($A30,'Tower configuration'!$A$3:$DM$50,41,FALSE),2)),
                     0),
              0)</f>
        <v>6.34</v>
      </c>
      <c r="K30" s="668">
        <f>IFERROR(
            IF(ISNUMBER(VLOOKUP($A30,'Tower configuration'!$A$3:$DM$50,44,FALSE)),
                    ABS(ROUND(
                           VLOOKUP($A30,'Tower configuration'!$A$3:$DM$50,44,FALSE)/0.3048
                            -
                           VLOOKUP($A30,'Tower configuration'!$A$3:$DM$50,41,FALSE),2)),
                    0),
              0)</f>
        <v>16.190000000000001</v>
      </c>
      <c r="L30" s="668">
        <f>IFERROR(
            IF(ISNUMBER(VLOOKUP($A30,'Tower configuration'!$A$3:$DM$50,45,FALSE)),
                    ABS(ROUND(
                           VLOOKUP($A30,'Tower configuration'!$A$3:$DM$50,45,FALSE)/0.3048
                            -
                           VLOOKUP($A30,'Tower configuration'!$A$3:$DM$50,41,FALSE),2)),
                    0),
              0)</f>
        <v>26.03</v>
      </c>
      <c r="M30" s="668">
        <f>IFERROR(
            IF(ISNUMBER(VLOOKUP($A30,'Tower configuration'!$A$3:$DM$50,46,FALSE)),
                    ABS(ROUND(
                           VLOOKUP($A30,'Tower configuration'!$A$3:$DM$50,46,FALSE)/0.3048
                            -
                           VLOOKUP($A30,'Tower configuration'!$A$3:$DM$50,41,FALSE),2)),
                     0),
              0)</f>
        <v>0</v>
      </c>
      <c r="N30" s="668">
        <f>IFERROR(
            IF(ISNUMBER(VLOOKUP($A30,'Tower configuration'!$A$3:$DM$50,47,FALSE)),
                    ABS(ROUND(
                           VLOOKUP($A30,'Tower configuration'!$A$3:$DM$50,47,FALSE)/0.3048
                            -
                           VLOOKUP($A30,'Tower configuration'!$A$3:$DM$50,41,FALSE),2)),
                    0),
              0)</f>
        <v>0</v>
      </c>
      <c r="O30" s="668">
        <f>IFERROR(
            IF(ISNUMBER(VLOOKUP($A30,'Tower configuration'!$A$3:$DM$50,48,FALSE)),
                    ABS(ROUND(
                           VLOOKUP($A30,'Tower configuration'!$A$3:$DM$50,48,FALSE)/0.3048
                            -
                           VLOOKUP($A30,'Tower configuration'!$A$3:$DM$50,41,FALSE),2)),
                     0),
              0)</f>
        <v>0</v>
      </c>
      <c r="P30" s="351">
        <f>IFERROR(
            IF(ISNUMBER(VLOOKUP($A30,'Tower configuration'!$A$3:$DM$50,49,FALSE)),
                    ABS(ROUND(
                           VLOOKUP($A30,'Tower configuration'!$A$3:$DM$50,49,FALSE)/0.3048
                            -
                           VLOOKUP($A30,'Tower configuration'!$A$3:$DM$50,41,FALSE),2)),
                     0),
              0)</f>
        <v>0</v>
      </c>
      <c r="Q30" s="533">
        <f t="shared" si="0"/>
        <v>520</v>
      </c>
      <c r="R30" s="683">
        <f t="shared" si="1"/>
        <v>45.269999999999996</v>
      </c>
      <c r="S30" s="683">
        <f t="shared" si="2"/>
        <v>51.34</v>
      </c>
      <c r="T30" s="683">
        <f t="shared" si="3"/>
        <v>61.19</v>
      </c>
      <c r="U30" s="683">
        <f t="shared" si="4"/>
        <v>71.03</v>
      </c>
      <c r="V30" s="683">
        <f t="shared" si="5"/>
        <v>0</v>
      </c>
      <c r="W30" s="683">
        <f t="shared" si="6"/>
        <v>0</v>
      </c>
      <c r="X30" s="683">
        <f t="shared" si="7"/>
        <v>0</v>
      </c>
      <c r="Y30" s="683">
        <f t="shared" si="8"/>
        <v>0</v>
      </c>
      <c r="Z30" s="694">
        <f t="shared" si="14"/>
        <v>748.82999999999993</v>
      </c>
      <c r="AA30" s="700">
        <f t="shared" si="9"/>
        <v>898.59599999999989</v>
      </c>
      <c r="AB30" s="710">
        <f t="shared" si="10"/>
        <v>166</v>
      </c>
      <c r="AC30" s="694">
        <f t="shared" si="11"/>
        <v>830</v>
      </c>
      <c r="AD30" s="700">
        <f t="shared" si="12"/>
        <v>996</v>
      </c>
    </row>
    <row r="31" spans="1:30" ht="15.75" thickBot="1" x14ac:dyDescent="0.3">
      <c r="A31" s="536" t="s">
        <v>219</v>
      </c>
      <c r="B31" s="537" t="str">
        <f>VLOOKUP($A31,'TIS Site Config'!$A$3:$D$51,2,FALSE)</f>
        <v>D10</v>
      </c>
      <c r="C31" s="36" t="str">
        <f>VLOOKUP($A31,'TIS Site Config'!$A$3:$D$51,3,FALSE)</f>
        <v>A-FY14</v>
      </c>
      <c r="D31" s="538" t="str">
        <f>VLOOKUP($A31,'TIS Site Config'!$A$3:$D$51,4,FALSE)</f>
        <v>Rocky Mountain National Park, CASTNET</v>
      </c>
      <c r="E31" s="536">
        <v>100</v>
      </c>
      <c r="F31" s="537">
        <f>VLOOKUP($A31,'TIS Site Config'!$A$3:$AQ$51,10,FALSE)</f>
        <v>81</v>
      </c>
      <c r="G31" s="669">
        <f>VLOOKUP($A31,'TIS Site Config'!$A$3:$AQ$51,12,FALSE)</f>
        <v>7</v>
      </c>
      <c r="H31" s="544">
        <f t="shared" si="13"/>
        <v>5</v>
      </c>
      <c r="I31" s="669">
        <f>IFERROR(
            IF(ISNUMBER(VLOOKUP($A31,'Tower configuration'!$A$3:$DM$50,42,FALSE)),
                    ABS(ROUND(
                           VLOOKUP($A31,'Tower configuration'!$A$3:$DM$50,42,FALSE)/0.3048
                            -
                           VLOOKUP($A31,'Tower configuration'!$A$3:$DM$50,41,FALSE),2)),
                     0),
              0)</f>
        <v>0.16</v>
      </c>
      <c r="J31" s="669">
        <f>IFERROR(
            IF(ISNUMBER(VLOOKUP($A31,'Tower configuration'!$A$3:$DM$50,43,FALSE)),
                    ABS(ROUND(
                           VLOOKUP($A31,'Tower configuration'!$A$3:$DM$50,43,FALSE)/0.3048
                            -
                           VLOOKUP($A31,'Tower configuration'!$A$3:$DM$50,41,FALSE),2)),
                     0),
              0)</f>
        <v>21.16</v>
      </c>
      <c r="K31" s="669">
        <f>IFERROR(
            IF(ISNUMBER(VLOOKUP($A31,'Tower configuration'!$A$3:$DM$50,44,FALSE)),
                    ABS(ROUND(
                           VLOOKUP($A31,'Tower configuration'!$A$3:$DM$50,44,FALSE)/0.3048
                            -
                           VLOOKUP($A31,'Tower configuration'!$A$3:$DM$50,41,FALSE),2)),
                    0),
              0)</f>
        <v>41.51</v>
      </c>
      <c r="L31" s="669">
        <f>IFERROR(
            IF(ISNUMBER(VLOOKUP($A31,'Tower configuration'!$A$3:$DM$50,45,FALSE)),
                    ABS(ROUND(
                           VLOOKUP($A31,'Tower configuration'!$A$3:$DM$50,45,FALSE)/0.3048
                            -
                           VLOOKUP($A31,'Tower configuration'!$A$3:$DM$50,41,FALSE),2)),
                    0),
              0)</f>
        <v>57.91</v>
      </c>
      <c r="M31" s="669">
        <f>IFERROR(
            IF(ISNUMBER(VLOOKUP($A31,'Tower configuration'!$A$3:$DM$50,46,FALSE)),
                    ABS(ROUND(
                           VLOOKUP($A31,'Tower configuration'!$A$3:$DM$50,46,FALSE)/0.3048
                            -
                           VLOOKUP($A31,'Tower configuration'!$A$3:$DM$50,41,FALSE),2)),
                     0),
              0)</f>
        <v>79.23</v>
      </c>
      <c r="N31" s="669">
        <f>IFERROR(
            IF(ISNUMBER(VLOOKUP($A31,'Tower configuration'!$A$3:$DM$50,47,FALSE)),
                    ABS(ROUND(
                           VLOOKUP($A31,'Tower configuration'!$A$3:$DM$50,47,FALSE)/0.3048
                            -
                           VLOOKUP($A31,'Tower configuration'!$A$3:$DM$50,41,FALSE),2)),
                    0),
              0)</f>
        <v>0</v>
      </c>
      <c r="O31" s="669">
        <f>IFERROR(
            IF(ISNUMBER(VLOOKUP($A31,'Tower configuration'!$A$3:$DM$50,48,FALSE)),
                    ABS(ROUND(
                           VLOOKUP($A31,'Tower configuration'!$A$3:$DM$50,48,FALSE)/0.3048
                            -
                           VLOOKUP($A31,'Tower configuration'!$A$3:$DM$50,41,FALSE),2)),
                     0),
              0)</f>
        <v>0</v>
      </c>
      <c r="P31" s="541">
        <f>IFERROR(
            IF(ISNUMBER(VLOOKUP($A31,'Tower configuration'!$A$3:$DM$50,49,FALSE)),
                    ABS(ROUND(
                           VLOOKUP($A31,'Tower configuration'!$A$3:$DM$50,49,FALSE)/0.3048
                            -
                           VLOOKUP($A31,'Tower configuration'!$A$3:$DM$50,41,FALSE),2)),
                     0),
              0)</f>
        <v>0</v>
      </c>
      <c r="Q31" s="544">
        <f t="shared" si="0"/>
        <v>650</v>
      </c>
      <c r="R31" s="684">
        <f t="shared" si="1"/>
        <v>45.16</v>
      </c>
      <c r="S31" s="684">
        <f t="shared" si="2"/>
        <v>66.16</v>
      </c>
      <c r="T31" s="684">
        <f t="shared" si="3"/>
        <v>86.509999999999991</v>
      </c>
      <c r="U31" s="684">
        <f t="shared" si="4"/>
        <v>102.91</v>
      </c>
      <c r="V31" s="684">
        <f t="shared" si="5"/>
        <v>124.23</v>
      </c>
      <c r="W31" s="684">
        <f t="shared" si="6"/>
        <v>0</v>
      </c>
      <c r="X31" s="684">
        <f t="shared" si="7"/>
        <v>0</v>
      </c>
      <c r="Y31" s="684">
        <f t="shared" si="8"/>
        <v>0</v>
      </c>
      <c r="Z31" s="695">
        <f t="shared" si="14"/>
        <v>1074.9699999999998</v>
      </c>
      <c r="AA31" s="701">
        <f t="shared" si="9"/>
        <v>1289.9639999999997</v>
      </c>
      <c r="AB31" s="711">
        <f t="shared" si="10"/>
        <v>221</v>
      </c>
      <c r="AC31" s="695">
        <f t="shared" si="11"/>
        <v>1105</v>
      </c>
      <c r="AD31" s="701">
        <f t="shared" si="12"/>
        <v>1326</v>
      </c>
    </row>
    <row r="32" spans="1:30" x14ac:dyDescent="0.25">
      <c r="A32" s="515" t="s">
        <v>235</v>
      </c>
      <c r="B32" s="516" t="str">
        <f>VLOOKUP($A32,'TIS Site Config'!$A$3:$D$51,2,FALSE)</f>
        <v>D11</v>
      </c>
      <c r="C32" s="512">
        <f>VLOOKUP($A32,'TIS Site Config'!$A$3:$D$51,3,FALSE)</f>
        <v>0</v>
      </c>
      <c r="D32" s="564" t="str">
        <f>VLOOKUP($A32,'TIS Site Config'!$A$3:$D$51,4,FALSE)</f>
        <v xml:space="preserve">LBJ National Grassland </v>
      </c>
      <c r="E32" s="515">
        <v>100</v>
      </c>
      <c r="F32" s="516">
        <f>VLOOKUP($A32,'TIS Site Config'!$A$3:$AQ$51,10,FALSE)</f>
        <v>72</v>
      </c>
      <c r="G32" s="590">
        <f>VLOOKUP($A32,'TIS Site Config'!$A$3:$AQ$51,12,FALSE)</f>
        <v>6</v>
      </c>
      <c r="H32" s="587">
        <f t="shared" si="13"/>
        <v>5</v>
      </c>
      <c r="I32" s="590">
        <f>IFERROR(
            IF(ISNUMBER(VLOOKUP($A32,'Tower configuration'!$A$3:$DM$50,42,FALSE)),
                    ABS(ROUND(
                           VLOOKUP($A32,'Tower configuration'!$A$3:$DM$50,42,FALSE)/0.3048
                            -
                           VLOOKUP($A32,'Tower configuration'!$A$3:$DM$50,41,FALSE),2)),
                     0),
              0)</f>
        <v>1.68</v>
      </c>
      <c r="J32" s="590">
        <f>IFERROR(
            IF(ISNUMBER(VLOOKUP($A32,'Tower configuration'!$A$3:$DM$50,43,FALSE)),
                    ABS(ROUND(
                           VLOOKUP($A32,'Tower configuration'!$A$3:$DM$50,43,FALSE)/0.3048
                            -
                           VLOOKUP($A32,'Tower configuration'!$A$3:$DM$50,41,FALSE),2)),
                     0),
              0)</f>
        <v>10.46</v>
      </c>
      <c r="K32" s="590">
        <f>IFERROR(
            IF(ISNUMBER(VLOOKUP($A32,'Tower configuration'!$A$3:$DM$50,44,FALSE)),
                    ABS(ROUND(
                           VLOOKUP($A32,'Tower configuration'!$A$3:$DM$50,44,FALSE)/0.3048
                            -
                           VLOOKUP($A32,'Tower configuration'!$A$3:$DM$50,41,FALSE),2)),
                    0),
              0)</f>
        <v>30.14</v>
      </c>
      <c r="L32" s="590">
        <f>IFERROR(
            IF(ISNUMBER(VLOOKUP($A32,'Tower configuration'!$A$3:$DM$50,45,FALSE)),
                    ABS(ROUND(
                           VLOOKUP($A32,'Tower configuration'!$A$3:$DM$50,45,FALSE)/0.3048
                            -
                           VLOOKUP($A32,'Tower configuration'!$A$3:$DM$50,41,FALSE),2)),
                    0),
              0)</f>
        <v>49.83</v>
      </c>
      <c r="M32" s="590">
        <f>IFERROR(
            IF(ISNUMBER(VLOOKUP($A32,'Tower configuration'!$A$3:$DM$50,46,FALSE)),
                    ABS(ROUND(
                           VLOOKUP($A32,'Tower configuration'!$A$3:$DM$50,46,FALSE)/0.3048
                            -
                           VLOOKUP($A32,'Tower configuration'!$A$3:$DM$50,41,FALSE),2)),
                     0),
              0)</f>
        <v>69.510000000000005</v>
      </c>
      <c r="N32" s="590">
        <f>IFERROR(
            IF(ISNUMBER(VLOOKUP($A32,'Tower configuration'!$A$3:$DM$50,47,FALSE)),
                    ABS(ROUND(
                           VLOOKUP($A32,'Tower configuration'!$A$3:$DM$50,47,FALSE)/0.3048
                            -
                           VLOOKUP($A32,'Tower configuration'!$A$3:$DM$50,41,FALSE),2)),
                    0),
              0)</f>
        <v>0</v>
      </c>
      <c r="O32" s="590">
        <f>IFERROR(
            IF(ISNUMBER(VLOOKUP($A32,'Tower configuration'!$A$3:$DM$50,48,FALSE)),
                    ABS(ROUND(
                           VLOOKUP($A32,'Tower configuration'!$A$3:$DM$50,48,FALSE)/0.3048
                            -
                           VLOOKUP($A32,'Tower configuration'!$A$3:$DM$50,41,FALSE),2)),
                     0),
              0)</f>
        <v>0</v>
      </c>
      <c r="P32" s="513">
        <f>IFERROR(
            IF(ISNUMBER(VLOOKUP($A32,'Tower configuration'!$A$3:$DM$50,49,FALSE)),
                    ABS(ROUND(
                           VLOOKUP($A32,'Tower configuration'!$A$3:$DM$50,49,FALSE)/0.3048
                            -
                           VLOOKUP($A32,'Tower configuration'!$A$3:$DM$50,41,FALSE),2)),
                     0),
              0)</f>
        <v>0</v>
      </c>
      <c r="Q32" s="587">
        <f t="shared" si="0"/>
        <v>650</v>
      </c>
      <c r="R32" s="692">
        <f t="shared" si="1"/>
        <v>46.68</v>
      </c>
      <c r="S32" s="692">
        <f t="shared" si="2"/>
        <v>55.46</v>
      </c>
      <c r="T32" s="692">
        <f t="shared" si="3"/>
        <v>75.14</v>
      </c>
      <c r="U32" s="692">
        <f t="shared" si="4"/>
        <v>94.83</v>
      </c>
      <c r="V32" s="692">
        <f t="shared" si="5"/>
        <v>114.51</v>
      </c>
      <c r="W32" s="692">
        <f t="shared" si="6"/>
        <v>0</v>
      </c>
      <c r="X32" s="692">
        <f t="shared" si="7"/>
        <v>0</v>
      </c>
      <c r="Y32" s="692">
        <f t="shared" si="8"/>
        <v>0</v>
      </c>
      <c r="Z32" s="697">
        <f t="shared" si="14"/>
        <v>1036.6200000000001</v>
      </c>
      <c r="AA32" s="704">
        <f t="shared" si="9"/>
        <v>1243.9440000000002</v>
      </c>
      <c r="AB32" s="714">
        <f t="shared" si="10"/>
        <v>212</v>
      </c>
      <c r="AC32" s="697">
        <f t="shared" si="11"/>
        <v>1060</v>
      </c>
      <c r="AD32" s="704">
        <f t="shared" si="12"/>
        <v>1272</v>
      </c>
    </row>
    <row r="33" spans="1:30" ht="15.75" thickBot="1" x14ac:dyDescent="0.3">
      <c r="A33" s="533" t="s">
        <v>220</v>
      </c>
      <c r="B33" s="522" t="str">
        <f>VLOOKUP($A33,'TIS Site Config'!$A$3:$D$51,2,FALSE)</f>
        <v>D11</v>
      </c>
      <c r="C33" s="11" t="str">
        <f>VLOOKUP($A33,'TIS Site Config'!$A$3:$D$51,3,FALSE)</f>
        <v>A-FY14</v>
      </c>
      <c r="D33" s="531" t="str">
        <f>VLOOKUP($A33,'TIS Site Config'!$A$3:$D$51,4,FALSE)</f>
        <v>Klemme Range Research Station</v>
      </c>
      <c r="E33" s="533">
        <v>100</v>
      </c>
      <c r="F33" s="522">
        <f>VLOOKUP($A33,'TIS Site Config'!$A$3:$AQ$51,10,FALSE)</f>
        <v>26</v>
      </c>
      <c r="G33" s="668">
        <f>VLOOKUP($A33,'TIS Site Config'!$A$3:$AQ$51,12,FALSE)</f>
        <v>2</v>
      </c>
      <c r="H33" s="533">
        <f t="shared" si="13"/>
        <v>4</v>
      </c>
      <c r="I33" s="668">
        <f>IFERROR(
            IF(ISNUMBER(VLOOKUP($A33,'Tower configuration'!$A$3:$DM$50,42,FALSE)),
                    ABS(ROUND(
                           VLOOKUP($A33,'Tower configuration'!$A$3:$DM$50,42,FALSE)/0.3048
                            -
                           VLOOKUP($A33,'Tower configuration'!$A$3:$DM$50,41,FALSE),2)),
                     0),
              0)</f>
        <v>0.1</v>
      </c>
      <c r="J33" s="668">
        <f>IFERROR(
            IF(ISNUMBER(VLOOKUP($A33,'Tower configuration'!$A$3:$DM$50,43,FALSE)),
                    ABS(ROUND(
                           VLOOKUP($A33,'Tower configuration'!$A$3:$DM$50,43,FALSE)/0.3048
                            -
                           VLOOKUP($A33,'Tower configuration'!$A$3:$DM$50,41,FALSE),2)),
                     0),
              0)</f>
        <v>5.68</v>
      </c>
      <c r="K33" s="668">
        <f>IFERROR(
            IF(ISNUMBER(VLOOKUP($A33,'Tower configuration'!$A$3:$DM$50,44,FALSE)),
                    ABS(ROUND(
                           VLOOKUP($A33,'Tower configuration'!$A$3:$DM$50,44,FALSE)/0.3048
                            -
                           VLOOKUP($A33,'Tower configuration'!$A$3:$DM$50,41,FALSE),2)),
                    0),
              0)</f>
        <v>12.24</v>
      </c>
      <c r="L33" s="668">
        <f>IFERROR(
            IF(ISNUMBER(VLOOKUP($A33,'Tower configuration'!$A$3:$DM$50,45,FALSE)),
                    ABS(ROUND(
                           VLOOKUP($A33,'Tower configuration'!$A$3:$DM$50,45,FALSE)/0.3048
                            -
                           VLOOKUP($A33,'Tower configuration'!$A$3:$DM$50,41,FALSE),2)),
                    0),
              0)</f>
        <v>18.8</v>
      </c>
      <c r="M33" s="668">
        <f>IFERROR(
            IF(ISNUMBER(VLOOKUP($A33,'Tower configuration'!$A$3:$DM$50,46,FALSE)),
                    ABS(ROUND(
                           VLOOKUP($A33,'Tower configuration'!$A$3:$DM$50,46,FALSE)/0.3048
                            -
                           VLOOKUP($A33,'Tower configuration'!$A$3:$DM$50,41,FALSE),2)),
                     0),
              0)</f>
        <v>0</v>
      </c>
      <c r="N33" s="668">
        <f>IFERROR(
            IF(ISNUMBER(VLOOKUP($A33,'Tower configuration'!$A$3:$DM$50,47,FALSE)),
                    ABS(ROUND(
                           VLOOKUP($A33,'Tower configuration'!$A$3:$DM$50,47,FALSE)/0.3048
                            -
                           VLOOKUP($A33,'Tower configuration'!$A$3:$DM$50,41,FALSE),2)),
                    0),
              0)</f>
        <v>0</v>
      </c>
      <c r="O33" s="668">
        <f>IFERROR(
            IF(ISNUMBER(VLOOKUP($A33,'Tower configuration'!$A$3:$DM$50,48,FALSE)),
                    ABS(ROUND(
                           VLOOKUP($A33,'Tower configuration'!$A$3:$DM$50,48,FALSE)/0.3048
                            -
                           VLOOKUP($A33,'Tower configuration'!$A$3:$DM$50,41,FALSE),2)),
                     0),
              0)</f>
        <v>0</v>
      </c>
      <c r="P33" s="351">
        <f>IFERROR(
            IF(ISNUMBER(VLOOKUP($A33,'Tower configuration'!$A$3:$DM$50,49,FALSE)),
                    ABS(ROUND(
                           VLOOKUP($A33,'Tower configuration'!$A$3:$DM$50,49,FALSE)/0.3048
                            -
                           VLOOKUP($A33,'Tower configuration'!$A$3:$DM$50,41,FALSE),2)),
                     0),
              0)</f>
        <v>0</v>
      </c>
      <c r="Q33" s="533">
        <f t="shared" si="0"/>
        <v>520</v>
      </c>
      <c r="R33" s="683">
        <f t="shared" si="1"/>
        <v>45.1</v>
      </c>
      <c r="S33" s="683">
        <f t="shared" si="2"/>
        <v>50.68</v>
      </c>
      <c r="T33" s="683">
        <f t="shared" si="3"/>
        <v>57.24</v>
      </c>
      <c r="U33" s="683">
        <f t="shared" si="4"/>
        <v>63.8</v>
      </c>
      <c r="V33" s="683">
        <f t="shared" si="5"/>
        <v>0</v>
      </c>
      <c r="W33" s="683">
        <f t="shared" si="6"/>
        <v>0</v>
      </c>
      <c r="X33" s="683">
        <f t="shared" si="7"/>
        <v>0</v>
      </c>
      <c r="Y33" s="683">
        <f t="shared" si="8"/>
        <v>0</v>
      </c>
      <c r="Z33" s="694">
        <f t="shared" si="14"/>
        <v>736.81999999999994</v>
      </c>
      <c r="AA33" s="700">
        <f t="shared" si="9"/>
        <v>884.18399999999986</v>
      </c>
      <c r="AB33" s="710">
        <f t="shared" si="10"/>
        <v>166</v>
      </c>
      <c r="AC33" s="694">
        <f t="shared" si="11"/>
        <v>830</v>
      </c>
      <c r="AD33" s="700">
        <f t="shared" si="12"/>
        <v>996</v>
      </c>
    </row>
    <row r="34" spans="1:30" ht="15.75" thickBot="1" x14ac:dyDescent="0.3">
      <c r="A34" s="587" t="s">
        <v>236</v>
      </c>
      <c r="B34" s="512" t="str">
        <f>VLOOKUP($A34,'TIS Site Config'!$A$3:$D$51,2,FALSE)</f>
        <v>D12</v>
      </c>
      <c r="C34" s="512">
        <f>VLOOKUP($A34,'TIS Site Config'!$A$3:$D$51,3,FALSE)</f>
        <v>0</v>
      </c>
      <c r="D34" s="564" t="str">
        <f>VLOOKUP($A34,'TIS Site Config'!$A$3:$D$51,4,FALSE)</f>
        <v>Yellowstone Northern Range (Frog Rock)</v>
      </c>
      <c r="E34" s="587">
        <v>100</v>
      </c>
      <c r="F34" s="512">
        <f>VLOOKUP($A34,'TIS Site Config'!$A$3:$AQ$51,10,FALSE)</f>
        <v>70</v>
      </c>
      <c r="G34" s="590">
        <f>VLOOKUP($A34,'TIS Site Config'!$A$3:$AQ$51,12,FALSE)</f>
        <v>6</v>
      </c>
      <c r="H34" s="587">
        <f t="shared" si="13"/>
        <v>6</v>
      </c>
      <c r="I34" s="590">
        <f>IFERROR(
            IF(ISNUMBER(VLOOKUP($A34,'Tower configuration'!$A$3:$DM$50,42,FALSE)),
                    ABS(ROUND(
                           VLOOKUP($A34,'Tower configuration'!$A$3:$DM$50,42,FALSE)/0.3048
                            -
                           VLOOKUP($A34,'Tower configuration'!$A$3:$DM$50,41,FALSE),2)),
                     0),
              0)</f>
        <v>0.22</v>
      </c>
      <c r="J34" s="590">
        <f>IFERROR(
            IF(ISNUMBER(VLOOKUP($A34,'Tower configuration'!$A$3:$DM$50,43,FALSE)),
                    ABS(ROUND(
                           VLOOKUP($A34,'Tower configuration'!$A$3:$DM$50,43,FALSE)/0.3048
                            -
                           VLOOKUP($A34,'Tower configuration'!$A$3:$DM$50,41,FALSE),2)),
                     0),
              0)</f>
        <v>2.0699999999999998</v>
      </c>
      <c r="K34" s="590">
        <f>IFERROR(
            IF(ISNUMBER(VLOOKUP($A34,'Tower configuration'!$A$3:$DM$50,44,FALSE)),
                    ABS(ROUND(
                           VLOOKUP($A34,'Tower configuration'!$A$3:$DM$50,44,FALSE)/0.3048
                            -
                           VLOOKUP($A34,'Tower configuration'!$A$3:$DM$50,41,FALSE),2)),
                    0),
              0)</f>
        <v>25.04</v>
      </c>
      <c r="L34" s="590">
        <f>IFERROR(
            IF(ISNUMBER(VLOOKUP($A34,'Tower configuration'!$A$3:$DM$50,45,FALSE)),
                    ABS(ROUND(
                           VLOOKUP($A34,'Tower configuration'!$A$3:$DM$50,45,FALSE)/0.3048
                            -
                           VLOOKUP($A34,'Tower configuration'!$A$3:$DM$50,41,FALSE),2)),
                    0),
              0)</f>
        <v>44.72</v>
      </c>
      <c r="M34" s="590">
        <f>IFERROR(
            IF(ISNUMBER(VLOOKUP($A34,'Tower configuration'!$A$3:$DM$50,46,FALSE)),
                    ABS(ROUND(
                           VLOOKUP($A34,'Tower configuration'!$A$3:$DM$50,46,FALSE)/0.3048
                            -
                           VLOOKUP($A34,'Tower configuration'!$A$3:$DM$50,41,FALSE),2)),
                     0),
              0)</f>
        <v>54.57</v>
      </c>
      <c r="N34" s="590">
        <f>IFERROR(
            IF(ISNUMBER(VLOOKUP($A34,'Tower configuration'!$A$3:$DM$50,47,FALSE)),
                    ABS(ROUND(
                           VLOOKUP($A34,'Tower configuration'!$A$3:$DM$50,47,FALSE)/0.3048
                            -
                           VLOOKUP($A34,'Tower configuration'!$A$3:$DM$50,41,FALSE),2)),
                    0),
              0)</f>
        <v>64.41</v>
      </c>
      <c r="O34" s="590">
        <f>IFERROR(
            IF(ISNUMBER(VLOOKUP($A34,'Tower configuration'!$A$3:$DM$50,48,FALSE)),
                    ABS(ROUND(
                           VLOOKUP($A34,'Tower configuration'!$A$3:$DM$50,48,FALSE)/0.3048
                            -
                           VLOOKUP($A34,'Tower configuration'!$A$3:$DM$50,41,FALSE),2)),
                     0),
              0)</f>
        <v>0</v>
      </c>
      <c r="P34" s="513">
        <f>IFERROR(
            IF(ISNUMBER(VLOOKUP($A34,'Tower configuration'!$A$3:$DM$50,49,FALSE)),
                    ABS(ROUND(
                           VLOOKUP($A34,'Tower configuration'!$A$3:$DM$50,49,FALSE)/0.3048
                            -
                           VLOOKUP($A34,'Tower configuration'!$A$3:$DM$50,41,FALSE),2)),
                     0),
              0)</f>
        <v>0</v>
      </c>
      <c r="Q34" s="587">
        <f t="shared" si="0"/>
        <v>780</v>
      </c>
      <c r="R34" s="692">
        <f t="shared" si="1"/>
        <v>45.22</v>
      </c>
      <c r="S34" s="692">
        <f t="shared" si="2"/>
        <v>47.07</v>
      </c>
      <c r="T34" s="692">
        <f t="shared" si="3"/>
        <v>70.039999999999992</v>
      </c>
      <c r="U34" s="692">
        <f t="shared" si="4"/>
        <v>89.72</v>
      </c>
      <c r="V34" s="692">
        <f t="shared" si="5"/>
        <v>99.57</v>
      </c>
      <c r="W34" s="692">
        <f t="shared" si="6"/>
        <v>109.41</v>
      </c>
      <c r="X34" s="692">
        <f t="shared" si="7"/>
        <v>0</v>
      </c>
      <c r="Y34" s="692">
        <f t="shared" si="8"/>
        <v>0</v>
      </c>
      <c r="Z34" s="697">
        <f t="shared" si="14"/>
        <v>1241.03</v>
      </c>
      <c r="AA34" s="704">
        <f t="shared" si="9"/>
        <v>1489.2359999999999</v>
      </c>
      <c r="AB34" s="714">
        <f t="shared" si="10"/>
        <v>210</v>
      </c>
      <c r="AC34" s="697">
        <f t="shared" si="11"/>
        <v>1050</v>
      </c>
      <c r="AD34" s="704">
        <f t="shared" si="12"/>
        <v>1260</v>
      </c>
    </row>
    <row r="35" spans="1:30" x14ac:dyDescent="0.25">
      <c r="A35" s="587" t="s">
        <v>237</v>
      </c>
      <c r="B35" s="516" t="str">
        <f>VLOOKUP($A35,'TIS Site Config'!$A$3:$D$51,2,FALSE)</f>
        <v>D13</v>
      </c>
      <c r="C35" s="512">
        <f>VLOOKUP($A35,'TIS Site Config'!$A$3:$D$51,3,FALSE)</f>
        <v>0</v>
      </c>
      <c r="D35" s="564" t="str">
        <f>VLOOKUP($A35,'TIS Site Config'!$A$3:$D$51,4,FALSE)</f>
        <v>Niwot Ridge Mountain Research Station</v>
      </c>
      <c r="E35" s="587">
        <v>100</v>
      </c>
      <c r="F35" s="516">
        <f>VLOOKUP($A35,'TIS Site Config'!$A$3:$AQ$51,10,FALSE)</f>
        <v>26</v>
      </c>
      <c r="G35" s="590">
        <f>VLOOKUP($A35,'TIS Site Config'!$A$3:$AQ$51,12,FALSE)</f>
        <v>2</v>
      </c>
      <c r="H35" s="587">
        <f t="shared" si="13"/>
        <v>4</v>
      </c>
      <c r="I35" s="590">
        <f>IFERROR(
            IF(ISNUMBER(VLOOKUP($A35,'Tower configuration'!$A$3:$DM$50,42,FALSE)),
                    ABS(ROUND(
                           VLOOKUP($A35,'Tower configuration'!$A$3:$DM$50,42,FALSE)/0.3048
                            -
                           VLOOKUP($A35,'Tower configuration'!$A$3:$DM$50,41,FALSE),2)),
                     0),
              0)</f>
        <v>0.55000000000000004</v>
      </c>
      <c r="J35" s="590">
        <f>IFERROR(
            IF(ISNUMBER(VLOOKUP($A35,'Tower configuration'!$A$3:$DM$50,43,FALSE)),
                    ABS(ROUND(
                           VLOOKUP($A35,'Tower configuration'!$A$3:$DM$50,43,FALSE)/0.3048
                            -
                           VLOOKUP($A35,'Tower configuration'!$A$3:$DM$50,41,FALSE),2)),
                     0),
              0)</f>
        <v>2.0699999999999998</v>
      </c>
      <c r="K35" s="590">
        <f>IFERROR(
            IF(ISNUMBER(VLOOKUP($A35,'Tower configuration'!$A$3:$DM$50,44,FALSE)),
                    ABS(ROUND(
                           VLOOKUP($A35,'Tower configuration'!$A$3:$DM$50,44,FALSE)/0.3048
                            -
                           VLOOKUP($A35,'Tower configuration'!$A$3:$DM$50,41,FALSE),2)),
                    0),
              0)</f>
        <v>11.92</v>
      </c>
      <c r="L35" s="590">
        <f>IFERROR(
            IF(ISNUMBER(VLOOKUP($A35,'Tower configuration'!$A$3:$DM$50,45,FALSE)),
                    ABS(ROUND(
                           VLOOKUP($A35,'Tower configuration'!$A$3:$DM$50,45,FALSE)/0.3048
                            -
                           VLOOKUP($A35,'Tower configuration'!$A$3:$DM$50,41,FALSE),2)),
                    0),
              0)</f>
        <v>18.48</v>
      </c>
      <c r="M35" s="590">
        <f>IFERROR(
            IF(ISNUMBER(VLOOKUP($A35,'Tower configuration'!$A$3:$DM$50,46,FALSE)),
                    ABS(ROUND(
                           VLOOKUP($A35,'Tower configuration'!$A$3:$DM$50,46,FALSE)/0.3048
                            -
                           VLOOKUP($A35,'Tower configuration'!$A$3:$DM$50,41,FALSE),2)),
                     0),
              0)</f>
        <v>0</v>
      </c>
      <c r="N35" s="590">
        <f>IFERROR(
            IF(ISNUMBER(VLOOKUP($A35,'Tower configuration'!$A$3:$DM$50,47,FALSE)),
                    ABS(ROUND(
                           VLOOKUP($A35,'Tower configuration'!$A$3:$DM$50,47,FALSE)/0.3048
                            -
                           VLOOKUP($A35,'Tower configuration'!$A$3:$DM$50,41,FALSE),2)),
                    0),
              0)</f>
        <v>0</v>
      </c>
      <c r="O35" s="590">
        <f>IFERROR(
            IF(ISNUMBER(VLOOKUP($A35,'Tower configuration'!$A$3:$DM$50,48,FALSE)),
                    ABS(ROUND(
                           VLOOKUP($A35,'Tower configuration'!$A$3:$DM$50,48,FALSE)/0.3048
                            -
                           VLOOKUP($A35,'Tower configuration'!$A$3:$DM$50,41,FALSE),2)),
                     0),
              0)</f>
        <v>0</v>
      </c>
      <c r="P35" s="513">
        <f>IFERROR(
            IF(ISNUMBER(VLOOKUP($A35,'Tower configuration'!$A$3:$DM$50,49,FALSE)),
                    ABS(ROUND(
                           VLOOKUP($A35,'Tower configuration'!$A$3:$DM$50,49,FALSE)/0.3048
                            -
                           VLOOKUP($A35,'Tower configuration'!$A$3:$DM$50,41,FALSE),2)),
                     0),
              0)</f>
        <v>0</v>
      </c>
      <c r="Q35" s="587">
        <f t="shared" si="0"/>
        <v>520</v>
      </c>
      <c r="R35" s="692">
        <f t="shared" si="1"/>
        <v>45.55</v>
      </c>
      <c r="S35" s="692">
        <f t="shared" si="2"/>
        <v>47.07</v>
      </c>
      <c r="T35" s="692">
        <f t="shared" si="3"/>
        <v>56.92</v>
      </c>
      <c r="U35" s="692">
        <f t="shared" si="4"/>
        <v>63.480000000000004</v>
      </c>
      <c r="V35" s="692">
        <f t="shared" si="5"/>
        <v>0</v>
      </c>
      <c r="W35" s="692">
        <f t="shared" si="6"/>
        <v>0</v>
      </c>
      <c r="X35" s="692">
        <f t="shared" si="7"/>
        <v>0</v>
      </c>
      <c r="Y35" s="692">
        <f t="shared" si="8"/>
        <v>0</v>
      </c>
      <c r="Z35" s="697">
        <f t="shared" si="14"/>
        <v>733.02</v>
      </c>
      <c r="AA35" s="704">
        <f t="shared" si="9"/>
        <v>879.62399999999991</v>
      </c>
      <c r="AB35" s="714">
        <f t="shared" si="10"/>
        <v>166</v>
      </c>
      <c r="AC35" s="697">
        <f t="shared" si="11"/>
        <v>830</v>
      </c>
      <c r="AD35" s="704">
        <f t="shared" si="12"/>
        <v>996</v>
      </c>
    </row>
    <row r="36" spans="1:30" ht="15.75" thickBot="1" x14ac:dyDescent="0.3">
      <c r="A36" s="533" t="s">
        <v>221</v>
      </c>
      <c r="B36" s="522" t="str">
        <f>VLOOKUP($A36,'TIS Site Config'!$A$3:$D$51,2,FALSE)</f>
        <v>D13</v>
      </c>
      <c r="C36" s="11" t="str">
        <f>VLOOKUP($A36,'TIS Site Config'!$A$3:$D$51,3,FALSE)</f>
        <v>B-FY15-1</v>
      </c>
      <c r="D36" s="531" t="str">
        <f>VLOOKUP($A36,'TIS Site Config'!$A$3:$D$51,4,FALSE)</f>
        <v>Moab</v>
      </c>
      <c r="E36" s="533">
        <v>100</v>
      </c>
      <c r="F36" s="522">
        <f>VLOOKUP($A36,'TIS Site Config'!$A$3:$AQ$51,10,FALSE)</f>
        <v>26</v>
      </c>
      <c r="G36" s="668">
        <f>VLOOKUP($A36,'TIS Site Config'!$A$3:$AQ$51,12,FALSE)</f>
        <v>2</v>
      </c>
      <c r="H36" s="533">
        <f t="shared" si="13"/>
        <v>4</v>
      </c>
      <c r="I36" s="668">
        <f>IFERROR(
            IF(ISNUMBER(VLOOKUP($A36,'Tower configuration'!$A$3:$DM$50,42,FALSE)),
                    ABS(ROUND(
                           VLOOKUP($A36,'Tower configuration'!$A$3:$DM$50,42,FALSE)/0.3048
                            -
                           VLOOKUP($A36,'Tower configuration'!$A$3:$DM$50,41,FALSE),2)),
                     0),
              0)</f>
        <v>0.68</v>
      </c>
      <c r="J36" s="668">
        <f>IFERROR(
            IF(ISNUMBER(VLOOKUP($A36,'Tower configuration'!$A$3:$DM$50,43,FALSE)),
                    ABS(ROUND(
                           VLOOKUP($A36,'Tower configuration'!$A$3:$DM$50,43,FALSE)/0.3048
                            -
                           VLOOKUP($A36,'Tower configuration'!$A$3:$DM$50,41,FALSE),2)),
                     0),
              0)</f>
        <v>5.23</v>
      </c>
      <c r="K36" s="668">
        <f>IFERROR(
            IF(ISNUMBER(VLOOKUP($A36,'Tower configuration'!$A$3:$DM$50,44,FALSE)),
                    ABS(ROUND(
                           VLOOKUP($A36,'Tower configuration'!$A$3:$DM$50,44,FALSE)/0.3048
                            -
                           VLOOKUP($A36,'Tower configuration'!$A$3:$DM$50,41,FALSE),2)),
                    0),
              0)</f>
        <v>11.79</v>
      </c>
      <c r="L36" s="668">
        <f>IFERROR(
            IF(ISNUMBER(VLOOKUP($A36,'Tower configuration'!$A$3:$DM$50,45,FALSE)),
                    ABS(ROUND(
                           VLOOKUP($A36,'Tower configuration'!$A$3:$DM$50,45,FALSE)/0.3048
                            -
                           VLOOKUP($A36,'Tower configuration'!$A$3:$DM$50,41,FALSE),2)),
                    0),
              0)</f>
        <v>18.350000000000001</v>
      </c>
      <c r="M36" s="668">
        <f>IFERROR(
            IF(ISNUMBER(VLOOKUP($A36,'Tower configuration'!$A$3:$DM$50,46,FALSE)),
                    ABS(ROUND(
                           VLOOKUP($A36,'Tower configuration'!$A$3:$DM$50,46,FALSE)/0.3048
                            -
                           VLOOKUP($A36,'Tower configuration'!$A$3:$DM$50,41,FALSE),2)),
                     0),
              0)</f>
        <v>0</v>
      </c>
      <c r="N36" s="668">
        <f>IFERROR(
            IF(ISNUMBER(VLOOKUP($A36,'Tower configuration'!$A$3:$DM$50,47,FALSE)),
                    ABS(ROUND(
                           VLOOKUP($A36,'Tower configuration'!$A$3:$DM$50,47,FALSE)/0.3048
                            -
                           VLOOKUP($A36,'Tower configuration'!$A$3:$DM$50,41,FALSE),2)),
                    0),
              0)</f>
        <v>0</v>
      </c>
      <c r="O36" s="668">
        <f>IFERROR(
            IF(ISNUMBER(VLOOKUP($A36,'Tower configuration'!$A$3:$DM$50,48,FALSE)),
                    ABS(ROUND(
                           VLOOKUP($A36,'Tower configuration'!$A$3:$DM$50,48,FALSE)/0.3048
                            -
                           VLOOKUP($A36,'Tower configuration'!$A$3:$DM$50,41,FALSE),2)),
                     0),
              0)</f>
        <v>0</v>
      </c>
      <c r="P36" s="351">
        <f>IFERROR(
            IF(ISNUMBER(VLOOKUP($A36,'Tower configuration'!$A$3:$DM$50,49,FALSE)),
                    ABS(ROUND(
                           VLOOKUP($A36,'Tower configuration'!$A$3:$DM$50,49,FALSE)/0.3048
                            -
                           VLOOKUP($A36,'Tower configuration'!$A$3:$DM$50,41,FALSE),2)),
                     0),
              0)</f>
        <v>0</v>
      </c>
      <c r="Q36" s="533">
        <f t="shared" si="0"/>
        <v>520</v>
      </c>
      <c r="R36" s="683">
        <f t="shared" si="1"/>
        <v>45.68</v>
      </c>
      <c r="S36" s="683">
        <f t="shared" si="2"/>
        <v>50.230000000000004</v>
      </c>
      <c r="T36" s="683">
        <f t="shared" si="3"/>
        <v>56.79</v>
      </c>
      <c r="U36" s="683">
        <f t="shared" si="4"/>
        <v>63.35</v>
      </c>
      <c r="V36" s="683">
        <f t="shared" si="5"/>
        <v>0</v>
      </c>
      <c r="W36" s="683">
        <f t="shared" si="6"/>
        <v>0</v>
      </c>
      <c r="X36" s="683">
        <f t="shared" si="7"/>
        <v>0</v>
      </c>
      <c r="Y36" s="683">
        <f t="shared" si="8"/>
        <v>0</v>
      </c>
      <c r="Z36" s="694">
        <f t="shared" si="14"/>
        <v>736.05</v>
      </c>
      <c r="AA36" s="700">
        <f t="shared" si="9"/>
        <v>883.25999999999988</v>
      </c>
      <c r="AB36" s="710">
        <f t="shared" si="10"/>
        <v>166</v>
      </c>
      <c r="AC36" s="694">
        <f t="shared" si="11"/>
        <v>830</v>
      </c>
      <c r="AD36" s="700">
        <f t="shared" si="12"/>
        <v>996</v>
      </c>
    </row>
    <row r="37" spans="1:30" x14ac:dyDescent="0.25">
      <c r="A37" s="587" t="s">
        <v>238</v>
      </c>
      <c r="B37" s="516" t="str">
        <f>VLOOKUP($A37,'TIS Site Config'!$A$3:$D$51,2,FALSE)</f>
        <v>D14</v>
      </c>
      <c r="C37" s="512">
        <f>VLOOKUP($A37,'TIS Site Config'!$A$3:$D$51,3,FALSE)</f>
        <v>0</v>
      </c>
      <c r="D37" s="564" t="str">
        <f>VLOOKUP($A37,'TIS Site Config'!$A$3:$D$51,4,FALSE)</f>
        <v>Santa Rita Experimental Range</v>
      </c>
      <c r="E37" s="587">
        <v>100</v>
      </c>
      <c r="F37" s="516">
        <f>VLOOKUP($A37,'TIS Site Config'!$A$3:$AQ$51,10,FALSE)</f>
        <v>26</v>
      </c>
      <c r="G37" s="590">
        <f>VLOOKUP($A37,'TIS Site Config'!$A$3:$AQ$51,12,FALSE)</f>
        <v>2</v>
      </c>
      <c r="H37" s="587">
        <f t="shared" si="13"/>
        <v>4</v>
      </c>
      <c r="I37" s="590">
        <f>IFERROR(
            IF(ISNUMBER(VLOOKUP($A37,'Tower configuration'!$A$3:$DM$50,42,FALSE)),
                    ABS(ROUND(
                           VLOOKUP($A37,'Tower configuration'!$A$3:$DM$50,42,FALSE)/0.3048
                            -
                           VLOOKUP($A37,'Tower configuration'!$A$3:$DM$50,41,FALSE),2)),
                     0),
              0)</f>
        <v>0.51</v>
      </c>
      <c r="J37" s="590">
        <f>IFERROR(
            IF(ISNUMBER(VLOOKUP($A37,'Tower configuration'!$A$3:$DM$50,43,FALSE)),
                    ABS(ROUND(
                           VLOOKUP($A37,'Tower configuration'!$A$3:$DM$50,43,FALSE)/0.3048
                            -
                           VLOOKUP($A37,'Tower configuration'!$A$3:$DM$50,41,FALSE),2)),
                     0),
              0)</f>
        <v>4.57</v>
      </c>
      <c r="K37" s="590">
        <f>IFERROR(
            IF(ISNUMBER(VLOOKUP($A37,'Tower configuration'!$A$3:$DM$50,44,FALSE)),
                    ABS(ROUND(
                           VLOOKUP($A37,'Tower configuration'!$A$3:$DM$50,44,FALSE)/0.3048
                            -
                           VLOOKUP($A37,'Tower configuration'!$A$3:$DM$50,41,FALSE),2)),
                    0),
              0)</f>
        <v>11.79</v>
      </c>
      <c r="L37" s="590">
        <f>IFERROR(
            IF(ISNUMBER(VLOOKUP($A37,'Tower configuration'!$A$3:$DM$50,45,FALSE)),
                    ABS(ROUND(
                           VLOOKUP($A37,'Tower configuration'!$A$3:$DM$50,45,FALSE)/0.3048
                            -
                           VLOOKUP($A37,'Tower configuration'!$A$3:$DM$50,41,FALSE),2)),
                    0),
              0)</f>
        <v>24.91</v>
      </c>
      <c r="M37" s="590">
        <f>IFERROR(
            IF(ISNUMBER(VLOOKUP($A37,'Tower configuration'!$A$3:$DM$50,46,FALSE)),
                    ABS(ROUND(
                           VLOOKUP($A37,'Tower configuration'!$A$3:$DM$50,46,FALSE)/0.3048
                            -
                           VLOOKUP($A37,'Tower configuration'!$A$3:$DM$50,41,FALSE),2)),
                     0),
              0)</f>
        <v>0</v>
      </c>
      <c r="N37" s="590">
        <f>IFERROR(
            IF(ISNUMBER(VLOOKUP($A37,'Tower configuration'!$A$3:$DM$50,47,FALSE)),
                    ABS(ROUND(
                           VLOOKUP($A37,'Tower configuration'!$A$3:$DM$50,47,FALSE)/0.3048
                            -
                           VLOOKUP($A37,'Tower configuration'!$A$3:$DM$50,41,FALSE),2)),
                    0),
              0)</f>
        <v>0</v>
      </c>
      <c r="O37" s="590">
        <f>IFERROR(
            IF(ISNUMBER(VLOOKUP($A37,'Tower configuration'!$A$3:$DM$50,48,FALSE)),
                    ABS(ROUND(
                           VLOOKUP($A37,'Tower configuration'!$A$3:$DM$50,48,FALSE)/0.3048
                            -
                           VLOOKUP($A37,'Tower configuration'!$A$3:$DM$50,41,FALSE),2)),
                     0),
              0)</f>
        <v>0</v>
      </c>
      <c r="P37" s="513">
        <f>IFERROR(
            IF(ISNUMBER(VLOOKUP($A37,'Tower configuration'!$A$3:$DM$50,49,FALSE)),
                    ABS(ROUND(
                           VLOOKUP($A37,'Tower configuration'!$A$3:$DM$50,49,FALSE)/0.3048
                            -
                           VLOOKUP($A37,'Tower configuration'!$A$3:$DM$50,41,FALSE),2)),
                     0),
              0)</f>
        <v>0</v>
      </c>
      <c r="Q37" s="587">
        <f t="shared" si="0"/>
        <v>520</v>
      </c>
      <c r="R37" s="692">
        <f t="shared" si="1"/>
        <v>45.510000000000005</v>
      </c>
      <c r="S37" s="692">
        <f t="shared" si="2"/>
        <v>49.57</v>
      </c>
      <c r="T37" s="692">
        <f t="shared" si="3"/>
        <v>56.79</v>
      </c>
      <c r="U37" s="692">
        <f t="shared" si="4"/>
        <v>69.91</v>
      </c>
      <c r="V37" s="692">
        <f t="shared" si="5"/>
        <v>0</v>
      </c>
      <c r="W37" s="692">
        <f t="shared" si="6"/>
        <v>0</v>
      </c>
      <c r="X37" s="692">
        <f t="shared" si="7"/>
        <v>0</v>
      </c>
      <c r="Y37" s="692">
        <f t="shared" si="8"/>
        <v>0</v>
      </c>
      <c r="Z37" s="697">
        <f t="shared" si="14"/>
        <v>741.78</v>
      </c>
      <c r="AA37" s="704">
        <f t="shared" si="9"/>
        <v>890.13599999999997</v>
      </c>
      <c r="AB37" s="714">
        <f t="shared" si="10"/>
        <v>166</v>
      </c>
      <c r="AC37" s="697">
        <f t="shared" si="11"/>
        <v>830</v>
      </c>
      <c r="AD37" s="704">
        <f t="shared" si="12"/>
        <v>996</v>
      </c>
    </row>
    <row r="38" spans="1:30" ht="15.75" thickBot="1" x14ac:dyDescent="0.3">
      <c r="A38" s="558" t="s">
        <v>134</v>
      </c>
      <c r="B38" s="559" t="str">
        <f>VLOOKUP($A38,'TIS Site Config'!$A$3:$D$51,2,FALSE)</f>
        <v>D14</v>
      </c>
      <c r="C38" s="48" t="str">
        <f>VLOOKUP($A38,'TIS Site Config'!$A$3:$D$51,3,FALSE)</f>
        <v>1-FY14</v>
      </c>
      <c r="D38" s="560" t="str">
        <f>VLOOKUP($A38,'TIS Site Config'!$A$3:$D$51,4,FALSE)</f>
        <v>Jornada LTER</v>
      </c>
      <c r="E38" s="558">
        <v>100</v>
      </c>
      <c r="F38" s="559">
        <f>VLOOKUP($A38,'TIS Site Config'!$A$3:$AQ$51,10,FALSE)</f>
        <v>26</v>
      </c>
      <c r="G38" s="671">
        <f>VLOOKUP($A38,'TIS Site Config'!$A$3:$AQ$51,12,FALSE)</f>
        <v>2</v>
      </c>
      <c r="H38" s="558">
        <f t="shared" si="13"/>
        <v>4</v>
      </c>
      <c r="I38" s="671">
        <f>IFERROR(
            IF(ISNUMBER(VLOOKUP($A38,'Tower configuration'!$A$3:$DM$50,42,FALSE)),
                    ABS(ROUND(
                           VLOOKUP($A38,'Tower configuration'!$A$3:$DM$50,42,FALSE)/0.3048
                            -
                           VLOOKUP($A38,'Tower configuration'!$A$3:$DM$50,41,FALSE),2)),
                     0),
              0)</f>
        <v>0.71</v>
      </c>
      <c r="J38" s="671">
        <f>IFERROR(
            IF(ISNUMBER(VLOOKUP($A38,'Tower configuration'!$A$3:$DM$50,43,FALSE)),
                    ABS(ROUND(
                           VLOOKUP($A38,'Tower configuration'!$A$3:$DM$50,43,FALSE)/0.3048
                            -
                           VLOOKUP($A38,'Tower configuration'!$A$3:$DM$50,41,FALSE),2)),
                     0),
              0)</f>
        <v>2.9</v>
      </c>
      <c r="K38" s="671">
        <f>IFERROR(
            IF(ISNUMBER(VLOOKUP($A38,'Tower configuration'!$A$3:$DM$50,44,FALSE)),
                    ABS(ROUND(
                           VLOOKUP($A38,'Tower configuration'!$A$3:$DM$50,44,FALSE)/0.3048
                            -
                           VLOOKUP($A38,'Tower configuration'!$A$3:$DM$50,41,FALSE),2)),
                    0),
              0)</f>
        <v>11.75</v>
      </c>
      <c r="L38" s="671">
        <f>IFERROR(
            IF(ISNUMBER(VLOOKUP($A38,'Tower configuration'!$A$3:$DM$50,45,FALSE)),
                    ABS(ROUND(
                           VLOOKUP($A38,'Tower configuration'!$A$3:$DM$50,45,FALSE)/0.3048
                            -
                           VLOOKUP($A38,'Tower configuration'!$A$3:$DM$50,41,FALSE),2)),
                    0),
              0)</f>
        <v>24.88</v>
      </c>
      <c r="M38" s="671">
        <f>IFERROR(
            IF(ISNUMBER(VLOOKUP($A38,'Tower configuration'!$A$3:$DM$50,46,FALSE)),
                    ABS(ROUND(
                           VLOOKUP($A38,'Tower configuration'!$A$3:$DM$50,46,FALSE)/0.3048
                            -
                           VLOOKUP($A38,'Tower configuration'!$A$3:$DM$50,41,FALSE),2)),
                     0),
              0)</f>
        <v>0</v>
      </c>
      <c r="N38" s="671">
        <f>IFERROR(
            IF(ISNUMBER(VLOOKUP($A38,'Tower configuration'!$A$3:$DM$50,47,FALSE)),
                    ABS(ROUND(
                           VLOOKUP($A38,'Tower configuration'!$A$3:$DM$50,47,FALSE)/0.3048
                            -
                           VLOOKUP($A38,'Tower configuration'!$A$3:$DM$50,41,FALSE),2)),
                    0),
              0)</f>
        <v>0</v>
      </c>
      <c r="O38" s="671">
        <f>IFERROR(
            IF(ISNUMBER(VLOOKUP($A38,'Tower configuration'!$A$3:$DM$50,48,FALSE)),
                    ABS(ROUND(
                           VLOOKUP($A38,'Tower configuration'!$A$3:$DM$50,48,FALSE)/0.3048
                            -
                           VLOOKUP($A38,'Tower configuration'!$A$3:$DM$50,41,FALSE),2)),
                     0),
              0)</f>
        <v>0</v>
      </c>
      <c r="P38" s="353">
        <f>IFERROR(
            IF(ISNUMBER(VLOOKUP($A38,'Tower configuration'!$A$3:$DM$50,49,FALSE)),
                    ABS(ROUND(
                           VLOOKUP($A38,'Tower configuration'!$A$3:$DM$50,49,FALSE)/0.3048
                            -
                           VLOOKUP($A38,'Tower configuration'!$A$3:$DM$50,41,FALSE),2)),
                     0),
              0)</f>
        <v>0</v>
      </c>
      <c r="Q38" s="558">
        <f t="shared" si="0"/>
        <v>520</v>
      </c>
      <c r="R38" s="681">
        <f t="shared" si="1"/>
        <v>45.71</v>
      </c>
      <c r="S38" s="681">
        <f t="shared" si="2"/>
        <v>47.9</v>
      </c>
      <c r="T38" s="681">
        <f t="shared" si="3"/>
        <v>56.75</v>
      </c>
      <c r="U38" s="681">
        <f t="shared" si="4"/>
        <v>69.88</v>
      </c>
      <c r="V38" s="681">
        <f t="shared" si="5"/>
        <v>0</v>
      </c>
      <c r="W38" s="681">
        <f t="shared" si="6"/>
        <v>0</v>
      </c>
      <c r="X38" s="681">
        <f t="shared" si="7"/>
        <v>0</v>
      </c>
      <c r="Y38" s="681">
        <f t="shared" si="8"/>
        <v>0</v>
      </c>
      <c r="Z38" s="682">
        <f t="shared" si="14"/>
        <v>740.24</v>
      </c>
      <c r="AA38" s="703">
        <f t="shared" si="9"/>
        <v>888.28800000000001</v>
      </c>
      <c r="AB38" s="713">
        <f t="shared" si="10"/>
        <v>166</v>
      </c>
      <c r="AC38" s="682">
        <f t="shared" si="11"/>
        <v>830</v>
      </c>
      <c r="AD38" s="703">
        <f t="shared" si="12"/>
        <v>996</v>
      </c>
    </row>
    <row r="39" spans="1:30" ht="15.75" thickBot="1" x14ac:dyDescent="0.3">
      <c r="A39" s="586" t="s">
        <v>239</v>
      </c>
      <c r="B39" s="588" t="str">
        <f>VLOOKUP($A39,'TIS Site Config'!$A$3:$D$51,2,FALSE)</f>
        <v>D15</v>
      </c>
      <c r="C39" s="524" t="str">
        <f>VLOOKUP($A39,'TIS Site Config'!$A$3:$D$51,3,FALSE)</f>
        <v>C-FY15-2</v>
      </c>
      <c r="D39" s="525" t="str">
        <f>VLOOKUP($A39,'TIS Site Config'!$A$3:$D$51,4,FALSE)</f>
        <v>Onaqui-Ault</v>
      </c>
      <c r="E39" s="586">
        <v>100</v>
      </c>
      <c r="F39" s="588">
        <f>VLOOKUP($A39,'TIS Site Config'!$A$3:$AQ$51,10,FALSE)</f>
        <v>26</v>
      </c>
      <c r="G39" s="667">
        <f>VLOOKUP($A39,'TIS Site Config'!$A$3:$AQ$51,12,FALSE)</f>
        <v>2</v>
      </c>
      <c r="H39" s="586">
        <f t="shared" si="13"/>
        <v>4</v>
      </c>
      <c r="I39" s="667">
        <f>IFERROR(
            IF(ISNUMBER(VLOOKUP($A39,'Tower configuration'!$A$3:$DM$50,42,FALSE)),
                    ABS(ROUND(
                           VLOOKUP($A39,'Tower configuration'!$A$3:$DM$50,42,FALSE)/0.3048
                            -
                           VLOOKUP($A39,'Tower configuration'!$A$3:$DM$50,41,FALSE),2)),
                     0),
              0)</f>
        <v>0.55000000000000004</v>
      </c>
      <c r="J39" s="667">
        <f>IFERROR(
            IF(ISNUMBER(VLOOKUP($A39,'Tower configuration'!$A$3:$DM$50,43,FALSE)),
                    ABS(ROUND(
                           VLOOKUP($A39,'Tower configuration'!$A$3:$DM$50,43,FALSE)/0.3048
                            -
                           VLOOKUP($A39,'Tower configuration'!$A$3:$DM$50,41,FALSE),2)),
                     0),
              0)</f>
        <v>5.35</v>
      </c>
      <c r="K39" s="667">
        <f>IFERROR(
            IF(ISNUMBER(VLOOKUP($A39,'Tower configuration'!$A$3:$DM$50,44,FALSE)),
                    ABS(ROUND(
                           VLOOKUP($A39,'Tower configuration'!$A$3:$DM$50,44,FALSE)/0.3048
                            -
                           VLOOKUP($A39,'Tower configuration'!$A$3:$DM$50,41,FALSE),2)),
                    0),
              0)</f>
        <v>11.92</v>
      </c>
      <c r="L39" s="667">
        <f>IFERROR(
            IF(ISNUMBER(VLOOKUP($A39,'Tower configuration'!$A$3:$DM$50,45,FALSE)),
                    ABS(ROUND(
                           VLOOKUP($A39,'Tower configuration'!$A$3:$DM$50,45,FALSE)/0.3048
                            -
                           VLOOKUP($A39,'Tower configuration'!$A$3:$DM$50,41,FALSE),2)),
                    0),
              0)</f>
        <v>18.48</v>
      </c>
      <c r="M39" s="667">
        <f>IFERROR(
            IF(ISNUMBER(VLOOKUP($A39,'Tower configuration'!$A$3:$DM$50,46,FALSE)),
                    ABS(ROUND(
                           VLOOKUP($A39,'Tower configuration'!$A$3:$DM$50,46,FALSE)/0.3048
                            -
                           VLOOKUP($A39,'Tower configuration'!$A$3:$DM$50,41,FALSE),2)),
                     0),
              0)</f>
        <v>0</v>
      </c>
      <c r="N39" s="667">
        <f>IFERROR(
            IF(ISNUMBER(VLOOKUP($A39,'Tower configuration'!$A$3:$DM$50,47,FALSE)),
                    ABS(ROUND(
                           VLOOKUP($A39,'Tower configuration'!$A$3:$DM$50,47,FALSE)/0.3048
                            -
                           VLOOKUP($A39,'Tower configuration'!$A$3:$DM$50,41,FALSE),2)),
                    0),
              0)</f>
        <v>0</v>
      </c>
      <c r="O39" s="667">
        <f>IFERROR(
            IF(ISNUMBER(VLOOKUP($A39,'Tower configuration'!$A$3:$DM$50,48,FALSE)),
                    ABS(ROUND(
                           VLOOKUP($A39,'Tower configuration'!$A$3:$DM$50,48,FALSE)/0.3048
                            -
                           VLOOKUP($A39,'Tower configuration'!$A$3:$DM$50,41,FALSE),2)),
                     0),
              0)</f>
        <v>0</v>
      </c>
      <c r="P39" s="687">
        <f>IFERROR(
            IF(ISNUMBER(VLOOKUP($A39,'Tower configuration'!$A$3:$DM$50,49,FALSE)),
                    ABS(ROUND(
                           VLOOKUP($A39,'Tower configuration'!$A$3:$DM$50,49,FALSE)/0.3048
                            -
                           VLOOKUP($A39,'Tower configuration'!$A$3:$DM$50,41,FALSE),2)),
                     0),
              0)</f>
        <v>0</v>
      </c>
      <c r="Q39" s="586">
        <f t="shared" si="0"/>
        <v>520</v>
      </c>
      <c r="R39" s="678">
        <f t="shared" si="1"/>
        <v>45.55</v>
      </c>
      <c r="S39" s="678">
        <f t="shared" si="2"/>
        <v>50.35</v>
      </c>
      <c r="T39" s="678">
        <f t="shared" si="3"/>
        <v>56.92</v>
      </c>
      <c r="U39" s="678">
        <f t="shared" si="4"/>
        <v>63.480000000000004</v>
      </c>
      <c r="V39" s="678">
        <f t="shared" si="5"/>
        <v>0</v>
      </c>
      <c r="W39" s="678">
        <f t="shared" si="6"/>
        <v>0</v>
      </c>
      <c r="X39" s="678">
        <f t="shared" si="7"/>
        <v>0</v>
      </c>
      <c r="Y39" s="678">
        <f t="shared" si="8"/>
        <v>0</v>
      </c>
      <c r="Z39" s="680">
        <f t="shared" si="14"/>
        <v>736.3</v>
      </c>
      <c r="AA39" s="699">
        <f t="shared" si="9"/>
        <v>883.56</v>
      </c>
      <c r="AB39" s="709">
        <f t="shared" si="10"/>
        <v>166</v>
      </c>
      <c r="AC39" s="680">
        <f t="shared" si="11"/>
        <v>830</v>
      </c>
      <c r="AD39" s="699">
        <f t="shared" si="12"/>
        <v>996</v>
      </c>
    </row>
    <row r="40" spans="1:30" x14ac:dyDescent="0.25">
      <c r="A40" s="515" t="s">
        <v>240</v>
      </c>
      <c r="B40" s="516" t="str">
        <f>VLOOKUP($A40,'TIS Site Config'!$A$3:$D$51,2,FALSE)</f>
        <v>D16</v>
      </c>
      <c r="C40" s="512">
        <f>VLOOKUP($A40,'TIS Site Config'!$A$3:$D$51,3,FALSE)</f>
        <v>0</v>
      </c>
      <c r="D40" s="564" t="str">
        <f>VLOOKUP($A40,'TIS Site Config'!$A$3:$D$51,4,FALSE)</f>
        <v>Wind River Experimental Forest</v>
      </c>
      <c r="E40" s="515">
        <v>100</v>
      </c>
      <c r="F40" s="516">
        <f>VLOOKUP($A40,'TIS Site Config'!$A$3:$AQ$51,10,FALSE)</f>
        <v>237</v>
      </c>
      <c r="G40" s="590">
        <f>VLOOKUP($A40,'TIS Site Config'!$A$3:$AQ$51,12,FALSE)</f>
        <v>12</v>
      </c>
      <c r="H40" s="587">
        <f t="shared" si="13"/>
        <v>8</v>
      </c>
      <c r="I40" s="590">
        <f>IFERROR(
            IF(ISNUMBER(VLOOKUP($A40,'Tower configuration'!$A$3:$DM$50,42,FALSE)),
                    ABS(ROUND(
                           VLOOKUP($A40,'Tower configuration'!$A$3:$DM$50,42,FALSE)/0.3048
                            -
                           VLOOKUP($A40,'Tower configuration'!$A$3:$DM$50,41,FALSE),2)),
                     0),
              0)</f>
        <v>0.65</v>
      </c>
      <c r="J40" s="590">
        <f>IFERROR(
            IF(ISNUMBER(VLOOKUP($A40,'Tower configuration'!$A$3:$DM$50,43,FALSE)),
                    ABS(ROUND(
                           VLOOKUP($A40,'Tower configuration'!$A$3:$DM$50,43,FALSE)/0.3048
                            -
                           VLOOKUP($A40,'Tower configuration'!$A$3:$DM$50,41,FALSE),2)),
                     0),
              0)</f>
        <v>35.76</v>
      </c>
      <c r="K40" s="590">
        <f>IFERROR(
            IF(ISNUMBER(VLOOKUP($A40,'Tower configuration'!$A$3:$DM$50,44,FALSE)),
                    ABS(ROUND(
                           VLOOKUP($A40,'Tower configuration'!$A$3:$DM$50,44,FALSE)/0.3048
                            -
                           VLOOKUP($A40,'Tower configuration'!$A$3:$DM$50,41,FALSE),2)),
                    0),
              0)</f>
        <v>58.72</v>
      </c>
      <c r="L40" s="590">
        <f>IFERROR(
            IF(ISNUMBER(VLOOKUP($A40,'Tower configuration'!$A$3:$DM$50,45,FALSE)),
                    ABS(ROUND(
                           VLOOKUP($A40,'Tower configuration'!$A$3:$DM$50,45,FALSE)/0.3048
                            -
                           VLOOKUP($A40,'Tower configuration'!$A$3:$DM$50,41,FALSE),2)),
                    0),
              0)</f>
        <v>114.17</v>
      </c>
      <c r="M40" s="590">
        <f>IFERROR(
            IF(ISNUMBER(VLOOKUP($A40,'Tower configuration'!$A$3:$DM$50,46,FALSE)),
                    ABS(ROUND(
                           VLOOKUP($A40,'Tower configuration'!$A$3:$DM$50,46,FALSE)/0.3048
                            -
                           VLOOKUP($A40,'Tower configuration'!$A$3:$DM$50,41,FALSE),2)),
                     0),
              0)</f>
        <v>133.52000000000001</v>
      </c>
      <c r="N40" s="590">
        <f>IFERROR(
            IF(ISNUMBER(VLOOKUP($A40,'Tower configuration'!$A$3:$DM$50,47,FALSE)),
                    ABS(ROUND(
                           VLOOKUP($A40,'Tower configuration'!$A$3:$DM$50,47,FALSE)/0.3048
                            -
                           VLOOKUP($A40,'Tower configuration'!$A$3:$DM$50,41,FALSE),2)),
                    0),
              0)</f>
        <v>167.65</v>
      </c>
      <c r="O40" s="590">
        <f>IFERROR(
            IF(ISNUMBER(VLOOKUP($A40,'Tower configuration'!$A$3:$DM$50,48,FALSE)),
                    ABS(ROUND(
                           VLOOKUP($A40,'Tower configuration'!$A$3:$DM$50,48,FALSE)/0.3048
                            -
                           VLOOKUP($A40,'Tower configuration'!$A$3:$DM$50,41,FALSE),2)),
                     0),
              0)</f>
        <v>188.64</v>
      </c>
      <c r="P40" s="513">
        <f>IFERROR(
            IF(ISNUMBER(VLOOKUP($A40,'Tower configuration'!$A$3:$DM$50,49,FALSE)),
                    ABS(ROUND(
                           VLOOKUP($A40,'Tower configuration'!$A$3:$DM$50,49,FALSE)/0.3048
                            -
                           VLOOKUP($A40,'Tower configuration'!$A$3:$DM$50,41,FALSE),2)),
                     0),
              0)</f>
        <v>239.17</v>
      </c>
      <c r="Q40" s="587">
        <f t="shared" si="0"/>
        <v>1040</v>
      </c>
      <c r="R40" s="692">
        <f t="shared" si="1"/>
        <v>45.65</v>
      </c>
      <c r="S40" s="692">
        <f t="shared" si="2"/>
        <v>80.759999999999991</v>
      </c>
      <c r="T40" s="692">
        <f t="shared" si="3"/>
        <v>103.72</v>
      </c>
      <c r="U40" s="692">
        <f t="shared" si="4"/>
        <v>159.17000000000002</v>
      </c>
      <c r="V40" s="692">
        <f t="shared" si="5"/>
        <v>178.52</v>
      </c>
      <c r="W40" s="692">
        <f t="shared" si="6"/>
        <v>212.65</v>
      </c>
      <c r="X40" s="692">
        <f t="shared" si="7"/>
        <v>233.64</v>
      </c>
      <c r="Y40" s="692">
        <f t="shared" si="8"/>
        <v>284.16999999999996</v>
      </c>
      <c r="Z40" s="697">
        <f t="shared" si="14"/>
        <v>2338.2800000000002</v>
      </c>
      <c r="AA40" s="704">
        <f t="shared" si="9"/>
        <v>2805.9360000000001</v>
      </c>
      <c r="AB40" s="714">
        <f t="shared" si="10"/>
        <v>377</v>
      </c>
      <c r="AC40" s="697">
        <f t="shared" si="11"/>
        <v>1885</v>
      </c>
      <c r="AD40" s="704">
        <f t="shared" si="12"/>
        <v>2262</v>
      </c>
    </row>
    <row r="41" spans="1:30" ht="15.75" thickBot="1" x14ac:dyDescent="0.3">
      <c r="A41" s="558" t="s">
        <v>222</v>
      </c>
      <c r="B41" s="559" t="str">
        <f>VLOOKUP($A41,'TIS Site Config'!$A$3:$D$51,2,FALSE)</f>
        <v>D16</v>
      </c>
      <c r="C41" s="48" t="str">
        <f>VLOOKUP($A41,'TIS Site Config'!$A$3:$D$51,3,FALSE)</f>
        <v>D-FY15-3</v>
      </c>
      <c r="D41" s="560" t="str">
        <f>VLOOKUP($A41,'TIS Site Config'!$A$3:$D$51,4,FALSE)</f>
        <v>Abby Road</v>
      </c>
      <c r="E41" s="558">
        <v>100</v>
      </c>
      <c r="F41" s="559">
        <f>VLOOKUP($A41,'TIS Site Config'!$A$3:$AQ$51,10,FALSE)</f>
        <v>61</v>
      </c>
      <c r="G41" s="671">
        <f>VLOOKUP($A41,'TIS Site Config'!$A$3:$AQ$51,12,FALSE)</f>
        <v>5</v>
      </c>
      <c r="H41" s="558">
        <f t="shared" si="13"/>
        <v>5</v>
      </c>
      <c r="I41" s="671">
        <f>IFERROR(
            IF(ISNUMBER(VLOOKUP($A41,'Tower configuration'!$A$3:$DM$50,42,FALSE)),
                    ABS(ROUND(
                           VLOOKUP($A41,'Tower configuration'!$A$3:$DM$50,42,FALSE)/0.3048
                            -
                           VLOOKUP($A41,'Tower configuration'!$A$3:$DM$50,41,FALSE),2)),
                     0),
              0)</f>
        <v>1.68</v>
      </c>
      <c r="J41" s="671">
        <f>IFERROR(
            IF(ISNUMBER(VLOOKUP($A41,'Tower configuration'!$A$3:$DM$50,43,FALSE)),
                    ABS(ROUND(
                           VLOOKUP($A41,'Tower configuration'!$A$3:$DM$50,43,FALSE)/0.3048
                            -
                           VLOOKUP($A41,'Tower configuration'!$A$3:$DM$50,41,FALSE),2)),
                     0),
              0)</f>
        <v>12.1</v>
      </c>
      <c r="K41" s="671">
        <f>IFERROR(
            IF(ISNUMBER(VLOOKUP($A41,'Tower configuration'!$A$3:$DM$50,44,FALSE)),
                    ABS(ROUND(
                           VLOOKUP($A41,'Tower configuration'!$A$3:$DM$50,44,FALSE)/0.3048
                            -
                           VLOOKUP($A41,'Tower configuration'!$A$3:$DM$50,41,FALSE),2)),
                    0),
              0)</f>
        <v>28.5</v>
      </c>
      <c r="L41" s="671">
        <f>IFERROR(
            IF(ISNUMBER(VLOOKUP($A41,'Tower configuration'!$A$3:$DM$50,45,FALSE)),
                    ABS(ROUND(
                           VLOOKUP($A41,'Tower configuration'!$A$3:$DM$50,45,FALSE)/0.3048
                            -
                           VLOOKUP($A41,'Tower configuration'!$A$3:$DM$50,41,FALSE),2)),
                    0),
              0)</f>
        <v>39.229999999999997</v>
      </c>
      <c r="M41" s="671">
        <f>IFERROR(
            IF(ISNUMBER(VLOOKUP($A41,'Tower configuration'!$A$3:$DM$50,46,FALSE)),
                    ABS(ROUND(
                           VLOOKUP($A41,'Tower configuration'!$A$3:$DM$50,46,FALSE)/0.3048
                            -
                           VLOOKUP($A41,'Tower configuration'!$A$3:$DM$50,41,FALSE),2)),
                     0),
              0)</f>
        <v>56.39</v>
      </c>
      <c r="N41" s="671">
        <f>IFERROR(
            IF(ISNUMBER(VLOOKUP($A41,'Tower configuration'!$A$3:$DM$50,47,FALSE)),
                    ABS(ROUND(
                           VLOOKUP($A41,'Tower configuration'!$A$3:$DM$50,47,FALSE)/0.3048
                            -
                           VLOOKUP($A41,'Tower configuration'!$A$3:$DM$50,41,FALSE),2)),
                    0),
              0)</f>
        <v>0</v>
      </c>
      <c r="O41" s="671">
        <f>IFERROR(
            IF(ISNUMBER(VLOOKUP($A41,'Tower configuration'!$A$3:$DM$50,48,FALSE)),
                    ABS(ROUND(
                           VLOOKUP($A41,'Tower configuration'!$A$3:$DM$50,48,FALSE)/0.3048
                            -
                           VLOOKUP($A41,'Tower configuration'!$A$3:$DM$50,41,FALSE),2)),
                     0),
              0)</f>
        <v>0</v>
      </c>
      <c r="P41" s="353">
        <f>IFERROR(
            IF(ISNUMBER(VLOOKUP($A41,'Tower configuration'!$A$3:$DM$50,49,FALSE)),
                    ABS(ROUND(
                           VLOOKUP($A41,'Tower configuration'!$A$3:$DM$50,49,FALSE)/0.3048
                            -
                           VLOOKUP($A41,'Tower configuration'!$A$3:$DM$50,41,FALSE),2)),
                     0),
              0)</f>
        <v>0</v>
      </c>
      <c r="Q41" s="558">
        <f t="shared" si="0"/>
        <v>650</v>
      </c>
      <c r="R41" s="681">
        <f t="shared" si="1"/>
        <v>46.68</v>
      </c>
      <c r="S41" s="681">
        <f t="shared" si="2"/>
        <v>57.1</v>
      </c>
      <c r="T41" s="681">
        <f t="shared" si="3"/>
        <v>73.5</v>
      </c>
      <c r="U41" s="681">
        <f t="shared" si="4"/>
        <v>84.22999999999999</v>
      </c>
      <c r="V41" s="681">
        <f t="shared" si="5"/>
        <v>101.39</v>
      </c>
      <c r="W41" s="681">
        <f t="shared" si="6"/>
        <v>0</v>
      </c>
      <c r="X41" s="681">
        <f t="shared" si="7"/>
        <v>0</v>
      </c>
      <c r="Y41" s="681">
        <f t="shared" si="8"/>
        <v>0</v>
      </c>
      <c r="Z41" s="682">
        <f t="shared" si="14"/>
        <v>1012.9</v>
      </c>
      <c r="AA41" s="703">
        <f t="shared" si="9"/>
        <v>1215.48</v>
      </c>
      <c r="AB41" s="713">
        <f t="shared" si="10"/>
        <v>201</v>
      </c>
      <c r="AC41" s="682">
        <f t="shared" si="11"/>
        <v>1005</v>
      </c>
      <c r="AD41" s="703">
        <f t="shared" si="12"/>
        <v>1206</v>
      </c>
    </row>
    <row r="42" spans="1:30" x14ac:dyDescent="0.25">
      <c r="A42" s="515" t="s">
        <v>241</v>
      </c>
      <c r="B42" s="516" t="str">
        <f>VLOOKUP($A42,'TIS Site Config'!$A$3:$D$51,2,FALSE)</f>
        <v>D17</v>
      </c>
      <c r="C42" s="512">
        <f>VLOOKUP($A42,'TIS Site Config'!$A$3:$D$51,3,FALSE)</f>
        <v>0</v>
      </c>
      <c r="D42" s="564" t="str">
        <f>VLOOKUP($A42,'TIS Site Config'!$A$3:$D$51,4,FALSE)</f>
        <v>San Joaquin</v>
      </c>
      <c r="E42" s="515">
        <v>100</v>
      </c>
      <c r="F42" s="516">
        <f>VLOOKUP($A42,'TIS Site Config'!$A$3:$AQ$51,10,FALSE)</f>
        <v>127</v>
      </c>
      <c r="G42" s="590">
        <f>VLOOKUP($A42,'TIS Site Config'!$A$3:$AQ$51,12,FALSE)</f>
        <v>11</v>
      </c>
      <c r="H42" s="587">
        <f t="shared" si="13"/>
        <v>6</v>
      </c>
      <c r="I42" s="590">
        <f>IFERROR(
            IF(ISNUMBER(VLOOKUP($A42,'Tower configuration'!$A$3:$DM$50,42,FALSE)),
                    ABS(ROUND(
                           VLOOKUP($A42,'Tower configuration'!$A$3:$DM$50,42,FALSE)/0.3048
                            -
                           VLOOKUP($A42,'Tower configuration'!$A$3:$DM$50,41,FALSE),2)),
                     0),
              0)</f>
        <v>1.06</v>
      </c>
      <c r="J42" s="590">
        <f>IFERROR(
            IF(ISNUMBER(VLOOKUP($A42,'Tower configuration'!$A$3:$DM$50,43,FALSE)),
                    ABS(ROUND(
                           VLOOKUP($A42,'Tower configuration'!$A$3:$DM$50,43,FALSE)/0.3048
                            -
                           VLOOKUP($A42,'Tower configuration'!$A$3:$DM$50,41,FALSE),2)),
                     0),
              0)</f>
        <v>7.0000000000000007E-2</v>
      </c>
      <c r="K42" s="590">
        <f>IFERROR(
            IF(ISNUMBER(VLOOKUP($A42,'Tower configuration'!$A$3:$DM$50,44,FALSE)),
                    ABS(ROUND(
                           VLOOKUP($A42,'Tower configuration'!$A$3:$DM$50,44,FALSE)/0.3048
                            -
                           VLOOKUP($A42,'Tower configuration'!$A$3:$DM$50,41,FALSE),2)),
                    0),
              0)</f>
        <v>14.36</v>
      </c>
      <c r="L42" s="590">
        <f>IFERROR(
            IF(ISNUMBER(VLOOKUP($A42,'Tower configuration'!$A$3:$DM$50,45,FALSE)),
                    ABS(ROUND(
                           VLOOKUP($A42,'Tower configuration'!$A$3:$DM$50,45,FALSE)/0.3048
                            -
                           VLOOKUP($A42,'Tower configuration'!$A$3:$DM$50,41,FALSE),2)),
                    0),
              0)</f>
        <v>66.86</v>
      </c>
      <c r="M42" s="590">
        <f>IFERROR(
            IF(ISNUMBER(VLOOKUP($A42,'Tower configuration'!$A$3:$DM$50,46,FALSE)),
                    ABS(ROUND(
                           VLOOKUP($A42,'Tower configuration'!$A$3:$DM$50,46,FALSE)/0.3048
                            -
                           VLOOKUP($A42,'Tower configuration'!$A$3:$DM$50,41,FALSE),2)),
                     0),
              0)</f>
        <v>76.7</v>
      </c>
      <c r="N42" s="590">
        <f>IFERROR(
            IF(ISNUMBER(VLOOKUP($A42,'Tower configuration'!$A$3:$DM$50,47,FALSE)),
                    ABS(ROUND(
                           VLOOKUP($A42,'Tower configuration'!$A$3:$DM$50,47,FALSE)/0.3048
                            -
                           VLOOKUP($A42,'Tower configuration'!$A$3:$DM$50,41,FALSE),2)),
                    0),
              0)</f>
        <v>116.07</v>
      </c>
      <c r="O42" s="590">
        <f>IFERROR(
            IF(ISNUMBER(VLOOKUP($A42,'Tower configuration'!$A$3:$DM$50,48,FALSE)),
                    ABS(ROUND(
                           VLOOKUP($A42,'Tower configuration'!$A$3:$DM$50,48,FALSE)/0.3048
                            -
                           VLOOKUP($A42,'Tower configuration'!$A$3:$DM$50,41,FALSE),2)),
                     0),
              0)</f>
        <v>0</v>
      </c>
      <c r="P42" s="513">
        <f>IFERROR(
            IF(ISNUMBER(VLOOKUP($A42,'Tower configuration'!$A$3:$DM$50,49,FALSE)),
                    ABS(ROUND(
                           VLOOKUP($A42,'Tower configuration'!$A$3:$DM$50,49,FALSE)/0.3048
                            -
                           VLOOKUP($A42,'Tower configuration'!$A$3:$DM$50,41,FALSE),2)),
                     0),
              0)</f>
        <v>0</v>
      </c>
      <c r="Q42" s="587">
        <f t="shared" si="0"/>
        <v>780</v>
      </c>
      <c r="R42" s="692">
        <f t="shared" si="1"/>
        <v>46.06</v>
      </c>
      <c r="S42" s="692">
        <f t="shared" si="2"/>
        <v>45.07</v>
      </c>
      <c r="T42" s="692">
        <f t="shared" si="3"/>
        <v>59.36</v>
      </c>
      <c r="U42" s="692">
        <f t="shared" si="4"/>
        <v>111.86</v>
      </c>
      <c r="V42" s="692">
        <f t="shared" si="5"/>
        <v>121.7</v>
      </c>
      <c r="W42" s="692">
        <f t="shared" si="6"/>
        <v>161.07</v>
      </c>
      <c r="X42" s="692">
        <f t="shared" si="7"/>
        <v>0</v>
      </c>
      <c r="Y42" s="692">
        <f t="shared" si="8"/>
        <v>0</v>
      </c>
      <c r="Z42" s="697">
        <f t="shared" si="14"/>
        <v>1325.12</v>
      </c>
      <c r="AA42" s="704">
        <f t="shared" si="9"/>
        <v>1590.1439999999998</v>
      </c>
      <c r="AB42" s="714">
        <f t="shared" si="10"/>
        <v>267</v>
      </c>
      <c r="AC42" s="697">
        <f t="shared" si="11"/>
        <v>1335</v>
      </c>
      <c r="AD42" s="704">
        <f t="shared" si="12"/>
        <v>1602</v>
      </c>
    </row>
    <row r="43" spans="1:30" x14ac:dyDescent="0.25">
      <c r="A43" s="530" t="s">
        <v>224</v>
      </c>
      <c r="B43" s="522" t="str">
        <f>VLOOKUP($A43,'TIS Site Config'!$A$3:$D$51,2,FALSE)</f>
        <v>D17</v>
      </c>
      <c r="C43" s="11">
        <f>VLOOKUP($A43,'TIS Site Config'!$A$3:$D$51,3,FALSE)</f>
        <v>0</v>
      </c>
      <c r="D43" s="531" t="str">
        <f>VLOOKUP($A43,'TIS Site Config'!$A$3:$D$51,4,FALSE)</f>
        <v>Soaproot Saddle</v>
      </c>
      <c r="E43" s="530">
        <v>100</v>
      </c>
      <c r="F43" s="522">
        <f>VLOOKUP($A43,'TIS Site Config'!$A$3:$AQ$51,10,FALSE)</f>
        <v>171</v>
      </c>
      <c r="G43" s="668">
        <f>VLOOKUP($A43,'TIS Site Config'!$A$3:$AQ$51,12,FALSE)</f>
        <v>15</v>
      </c>
      <c r="H43" s="533">
        <f t="shared" si="13"/>
        <v>6</v>
      </c>
      <c r="I43" s="668">
        <f>IFERROR(
            IF(ISNUMBER(VLOOKUP($A43,'Tower configuration'!$A$3:$DM$50,42,FALSE)),
                    ABS(ROUND(
                           VLOOKUP($A43,'Tower configuration'!$A$3:$DM$50,42,FALSE)/0.3048
                            -
                           VLOOKUP($A43,'Tower configuration'!$A$3:$DM$50,41,FALSE),2)),
                     0),
              0)</f>
        <v>1.06</v>
      </c>
      <c r="J43" s="668">
        <f>IFERROR(
            IF(ISNUMBER(VLOOKUP($A43,'Tower configuration'!$A$3:$DM$50,43,FALSE)),
                    ABS(ROUND(
                           VLOOKUP($A43,'Tower configuration'!$A$3:$DM$50,43,FALSE)/0.3048
                            -
                           VLOOKUP($A43,'Tower configuration'!$A$3:$DM$50,41,FALSE),2)),
                     0),
              0)</f>
        <v>17.64</v>
      </c>
      <c r="K43" s="668">
        <f>IFERROR(
            IF(ISNUMBER(VLOOKUP($A43,'Tower configuration'!$A$3:$DM$50,44,FALSE)),
                    ABS(ROUND(
                           VLOOKUP($A43,'Tower configuration'!$A$3:$DM$50,44,FALSE)/0.3048
                            -
                           VLOOKUP($A43,'Tower configuration'!$A$3:$DM$50,41,FALSE),2)),
                    0),
              0)</f>
        <v>57.01</v>
      </c>
      <c r="L43" s="668">
        <f>IFERROR(
            IF(ISNUMBER(VLOOKUP($A43,'Tower configuration'!$A$3:$DM$50,45,FALSE)),
                    ABS(ROUND(
                           VLOOKUP($A43,'Tower configuration'!$A$3:$DM$50,45,FALSE)/0.3048
                            -
                           VLOOKUP($A43,'Tower configuration'!$A$3:$DM$50,41,FALSE),2)),
                    0),
              0)</f>
        <v>96.38</v>
      </c>
      <c r="M43" s="668">
        <f>IFERROR(
            IF(ISNUMBER(VLOOKUP($A43,'Tower configuration'!$A$3:$DM$50,46,FALSE)),
                    ABS(ROUND(
                           VLOOKUP($A43,'Tower configuration'!$A$3:$DM$50,46,FALSE)/0.3048
                            -
                           VLOOKUP($A43,'Tower configuration'!$A$3:$DM$50,41,FALSE),2)),
                     0),
              0)</f>
        <v>116.07</v>
      </c>
      <c r="N43" s="668">
        <f>IFERROR(
            IF(ISNUMBER(VLOOKUP($A43,'Tower configuration'!$A$3:$DM$50,47,FALSE)),
                    ABS(ROUND(
                           VLOOKUP($A43,'Tower configuration'!$A$3:$DM$50,47,FALSE)/0.3048
                            -
                           VLOOKUP($A43,'Tower configuration'!$A$3:$DM$50,41,FALSE),2)),
                    0),
              0)</f>
        <v>162</v>
      </c>
      <c r="O43" s="668">
        <f>IFERROR(
            IF(ISNUMBER(VLOOKUP($A43,'Tower configuration'!$A$3:$DM$50,48,FALSE)),
                    ABS(ROUND(
                           VLOOKUP($A43,'Tower configuration'!$A$3:$DM$50,48,FALSE)/0.3048
                            -
                           VLOOKUP($A43,'Tower configuration'!$A$3:$DM$50,41,FALSE),2)),
                     0),
              0)</f>
        <v>0</v>
      </c>
      <c r="P43" s="351">
        <f>IFERROR(
            IF(ISNUMBER(VLOOKUP($A43,'Tower configuration'!$A$3:$DM$50,49,FALSE)),
                    ABS(ROUND(
                           VLOOKUP($A43,'Tower configuration'!$A$3:$DM$50,49,FALSE)/0.3048
                            -
                           VLOOKUP($A43,'Tower configuration'!$A$3:$DM$50,41,FALSE),2)),
                     0),
              0)</f>
        <v>0</v>
      </c>
      <c r="Q43" s="533">
        <f t="shared" si="0"/>
        <v>780</v>
      </c>
      <c r="R43" s="683">
        <f t="shared" si="1"/>
        <v>46.06</v>
      </c>
      <c r="S43" s="683">
        <f t="shared" si="2"/>
        <v>62.64</v>
      </c>
      <c r="T43" s="683">
        <f t="shared" si="3"/>
        <v>102.00999999999999</v>
      </c>
      <c r="U43" s="683">
        <f t="shared" si="4"/>
        <v>141.38</v>
      </c>
      <c r="V43" s="683">
        <f t="shared" si="5"/>
        <v>161.07</v>
      </c>
      <c r="W43" s="683">
        <f t="shared" si="6"/>
        <v>207</v>
      </c>
      <c r="X43" s="683">
        <f t="shared" si="7"/>
        <v>0</v>
      </c>
      <c r="Y43" s="683">
        <f t="shared" si="8"/>
        <v>0</v>
      </c>
      <c r="Z43" s="694">
        <f t="shared" si="14"/>
        <v>1500.1599999999999</v>
      </c>
      <c r="AA43" s="700">
        <f t="shared" si="9"/>
        <v>1800.1919999999998</v>
      </c>
      <c r="AB43" s="710">
        <f t="shared" si="10"/>
        <v>311</v>
      </c>
      <c r="AC43" s="694">
        <f t="shared" si="11"/>
        <v>1555</v>
      </c>
      <c r="AD43" s="700">
        <f t="shared" si="12"/>
        <v>1866</v>
      </c>
    </row>
    <row r="44" spans="1:30" ht="15.75" thickBot="1" x14ac:dyDescent="0.3">
      <c r="A44" s="565" t="s">
        <v>223</v>
      </c>
      <c r="B44" s="559" t="str">
        <f>VLOOKUP($A44,'TIS Site Config'!$A$3:$D$51,2,FALSE)</f>
        <v>D17</v>
      </c>
      <c r="C44" s="48">
        <f>VLOOKUP($A44,'TIS Site Config'!$A$3:$D$51,3,FALSE)</f>
        <v>0</v>
      </c>
      <c r="D44" s="560" t="str">
        <f>VLOOKUP($A44,'TIS Site Config'!$A$3:$D$51,4,FALSE)</f>
        <v>Lower Teakettle</v>
      </c>
      <c r="E44" s="565">
        <v>100</v>
      </c>
      <c r="F44" s="559">
        <f>VLOOKUP($A44,'TIS Site Config'!$A$3:$AQ$51,10,FALSE)</f>
        <v>193</v>
      </c>
      <c r="G44" s="671">
        <f>VLOOKUP($A44,'TIS Site Config'!$A$3:$AQ$51,12,FALSE)</f>
        <v>17</v>
      </c>
      <c r="H44" s="558">
        <f t="shared" si="13"/>
        <v>7</v>
      </c>
      <c r="I44" s="671">
        <f>IFERROR(
            IF(ISNUMBER(VLOOKUP($A44,'Tower configuration'!$A$3:$DM$50,42,FALSE)),
                    ABS(ROUND(
                           VLOOKUP($A44,'Tower configuration'!$A$3:$DM$50,42,FALSE)/0.3048
                            -
                           VLOOKUP($A44,'Tower configuration'!$A$3:$DM$50,41,FALSE),2)),
                     0),
              0)</f>
        <v>1.06</v>
      </c>
      <c r="J44" s="671">
        <f>IFERROR(
            IF(ISNUMBER(VLOOKUP($A44,'Tower configuration'!$A$3:$DM$50,43,FALSE)),
                    ABS(ROUND(
                           VLOOKUP($A44,'Tower configuration'!$A$3:$DM$50,43,FALSE)/0.3048
                            -
                           VLOOKUP($A44,'Tower configuration'!$A$3:$DM$50,41,FALSE),2)),
                     0),
              0)</f>
        <v>7.8</v>
      </c>
      <c r="K44" s="671">
        <f>IFERROR(
            IF(ISNUMBER(VLOOKUP($A44,'Tower configuration'!$A$3:$DM$50,44,FALSE)),
                    ABS(ROUND(
                           VLOOKUP($A44,'Tower configuration'!$A$3:$DM$50,44,FALSE)/0.3048
                            -
                           VLOOKUP($A44,'Tower configuration'!$A$3:$DM$50,41,FALSE),2)),
                    0),
              0)</f>
        <v>40.61</v>
      </c>
      <c r="L44" s="671">
        <f>IFERROR(
            IF(ISNUMBER(VLOOKUP($A44,'Tower configuration'!$A$3:$DM$50,45,FALSE)),
                    ABS(ROUND(
                           VLOOKUP($A44,'Tower configuration'!$A$3:$DM$50,45,FALSE)/0.3048
                            -
                           VLOOKUP($A44,'Tower configuration'!$A$3:$DM$50,41,FALSE),2)),
                    0),
              0)</f>
        <v>79.98</v>
      </c>
      <c r="M44" s="671">
        <f>IFERROR(
            IF(ISNUMBER(VLOOKUP($A44,'Tower configuration'!$A$3:$DM$50,46,FALSE)),
                    ABS(ROUND(
                           VLOOKUP($A44,'Tower configuration'!$A$3:$DM$50,46,FALSE)/0.3048
                            -
                           VLOOKUP($A44,'Tower configuration'!$A$3:$DM$50,41,FALSE),2)),
                     0),
              0)</f>
        <v>112.79</v>
      </c>
      <c r="N44" s="671">
        <f>IFERROR(
            IF(ISNUMBER(VLOOKUP($A44,'Tower configuration'!$A$3:$DM$50,47,FALSE)),
                    ABS(ROUND(
                           VLOOKUP($A44,'Tower configuration'!$A$3:$DM$50,47,FALSE)/0.3048
                            -
                           VLOOKUP($A44,'Tower configuration'!$A$3:$DM$50,41,FALSE),2)),
                    0),
              0)</f>
        <v>162</v>
      </c>
      <c r="O44" s="671">
        <f>IFERROR(
            IF(ISNUMBER(VLOOKUP($A44,'Tower configuration'!$A$3:$DM$50,48,FALSE)),
                    ABS(ROUND(
                           VLOOKUP($A44,'Tower configuration'!$A$3:$DM$50,48,FALSE)/0.3048
                            -
                           VLOOKUP($A44,'Tower configuration'!$A$3:$DM$50,41,FALSE),2)),
                     0),
              0)</f>
        <v>191.53</v>
      </c>
      <c r="P44" s="353">
        <f>IFERROR(
            IF(ISNUMBER(VLOOKUP($A44,'Tower configuration'!$A$3:$DM$50,49,FALSE)),
                    ABS(ROUND(
                           VLOOKUP($A44,'Tower configuration'!$A$3:$DM$50,49,FALSE)/0.3048
                            -
                           VLOOKUP($A44,'Tower configuration'!$A$3:$DM$50,41,FALSE),2)),
                     0),
              0)</f>
        <v>0</v>
      </c>
      <c r="Q44" s="558">
        <f t="shared" si="0"/>
        <v>910</v>
      </c>
      <c r="R44" s="681">
        <f t="shared" si="1"/>
        <v>46.06</v>
      </c>
      <c r="S44" s="681">
        <f t="shared" si="2"/>
        <v>52.8</v>
      </c>
      <c r="T44" s="681">
        <f t="shared" si="3"/>
        <v>85.61</v>
      </c>
      <c r="U44" s="681">
        <f t="shared" si="4"/>
        <v>124.98</v>
      </c>
      <c r="V44" s="681">
        <f t="shared" si="5"/>
        <v>157.79000000000002</v>
      </c>
      <c r="W44" s="681">
        <f t="shared" si="6"/>
        <v>207</v>
      </c>
      <c r="X44" s="681">
        <f t="shared" si="7"/>
        <v>236.53</v>
      </c>
      <c r="Y44" s="681">
        <f t="shared" si="8"/>
        <v>0</v>
      </c>
      <c r="Z44" s="682">
        <f t="shared" si="14"/>
        <v>1820.7699999999998</v>
      </c>
      <c r="AA44" s="703">
        <f t="shared" si="9"/>
        <v>2184.9239999999995</v>
      </c>
      <c r="AB44" s="713">
        <f t="shared" si="10"/>
        <v>333</v>
      </c>
      <c r="AC44" s="682">
        <f t="shared" si="11"/>
        <v>1665</v>
      </c>
      <c r="AD44" s="703">
        <f t="shared" si="12"/>
        <v>1998</v>
      </c>
    </row>
    <row r="45" spans="1:30" x14ac:dyDescent="0.25">
      <c r="A45" s="587" t="s">
        <v>242</v>
      </c>
      <c r="B45" s="516" t="str">
        <f>VLOOKUP($A45,'TIS Site Config'!$A$3:$D$51,2,FALSE)</f>
        <v>D18</v>
      </c>
      <c r="C45" s="512">
        <f>VLOOKUP($A45,'TIS Site Config'!$A$3:$D$51,3,FALSE)</f>
        <v>0</v>
      </c>
      <c r="D45" s="564" t="str">
        <f>VLOOKUP($A45,'TIS Site Config'!$A$3:$D$51,4,FALSE)</f>
        <v>Toolik Lake</v>
      </c>
      <c r="E45" s="587">
        <v>100</v>
      </c>
      <c r="F45" s="516">
        <f>VLOOKUP($A45,'TIS Site Config'!$A$3:$AQ$51,10,FALSE)</f>
        <v>26</v>
      </c>
      <c r="G45" s="590">
        <f>VLOOKUP($A45,'TIS Site Config'!$A$3:$AQ$51,12,FALSE)</f>
        <v>2</v>
      </c>
      <c r="H45" s="587">
        <f t="shared" si="13"/>
        <v>4</v>
      </c>
      <c r="I45" s="590">
        <f>IFERROR(
            IF(ISNUMBER(VLOOKUP($A45,'Tower configuration'!$A$3:$DM$50,42,FALSE)),
                    ABS(ROUND(
                           VLOOKUP($A45,'Tower configuration'!$A$3:$DM$50,42,FALSE)/0.3048
                            -
                           VLOOKUP($A45,'Tower configuration'!$A$3:$DM$50,41,FALSE),2)),
                     0),
              0)</f>
        <v>0.39</v>
      </c>
      <c r="J45" s="590">
        <f>IFERROR(
            IF(ISNUMBER(VLOOKUP($A45,'Tower configuration'!$A$3:$DM$50,43,FALSE)),
                    ABS(ROUND(
                           VLOOKUP($A45,'Tower configuration'!$A$3:$DM$50,43,FALSE)/0.3048
                            -
                           VLOOKUP($A45,'Tower configuration'!$A$3:$DM$50,41,FALSE),2)),
                     0),
              0)</f>
        <v>2.0699999999999998</v>
      </c>
      <c r="K45" s="590">
        <f>IFERROR(
            IF(ISNUMBER(VLOOKUP($A45,'Tower configuration'!$A$3:$DM$50,44,FALSE)),
                    ABS(ROUND(
                           VLOOKUP($A45,'Tower configuration'!$A$3:$DM$50,44,FALSE)/0.3048
                            -
                           VLOOKUP($A45,'Tower configuration'!$A$3:$DM$50,41,FALSE),2)),
                    0),
              0)</f>
        <v>10.27</v>
      </c>
      <c r="L45" s="590">
        <f>IFERROR(
            IF(ISNUMBER(VLOOKUP($A45,'Tower configuration'!$A$3:$DM$50,45,FALSE)),
                    ABS(ROUND(
                           VLOOKUP($A45,'Tower configuration'!$A$3:$DM$50,45,FALSE)/0.3048
                            -
                           VLOOKUP($A45,'Tower configuration'!$A$3:$DM$50,41,FALSE),2)),
                    0),
              0)</f>
        <v>18.48</v>
      </c>
      <c r="M45" s="590">
        <f>IFERROR(
            IF(ISNUMBER(VLOOKUP($A45,'Tower configuration'!$A$3:$DM$50,46,FALSE)),
                    ABS(ROUND(
                           VLOOKUP($A45,'Tower configuration'!$A$3:$DM$50,46,FALSE)/0.3048
                            -
                           VLOOKUP($A45,'Tower configuration'!$A$3:$DM$50,41,FALSE),2)),
                     0),
              0)</f>
        <v>0</v>
      </c>
      <c r="N45" s="590">
        <f>IFERROR(
            IF(ISNUMBER(VLOOKUP($A45,'Tower configuration'!$A$3:$DM$50,47,FALSE)),
                    ABS(ROUND(
                           VLOOKUP($A45,'Tower configuration'!$A$3:$DM$50,47,FALSE)/0.3048
                            -
                           VLOOKUP($A45,'Tower configuration'!$A$3:$DM$50,41,FALSE),2)),
                    0),
              0)</f>
        <v>0</v>
      </c>
      <c r="O45" s="590">
        <f>IFERROR(
            IF(ISNUMBER(VLOOKUP($A45,'Tower configuration'!$A$3:$DM$50,48,FALSE)),
                    ABS(ROUND(
                           VLOOKUP($A45,'Tower configuration'!$A$3:$DM$50,48,FALSE)/0.3048
                            -
                           VLOOKUP($A45,'Tower configuration'!$A$3:$DM$50,41,FALSE),2)),
                     0),
              0)</f>
        <v>0</v>
      </c>
      <c r="P45" s="513">
        <f>IFERROR(
            IF(ISNUMBER(VLOOKUP($A45,'Tower configuration'!$A$3:$DM$50,49,FALSE)),
                    ABS(ROUND(
                           VLOOKUP($A45,'Tower configuration'!$A$3:$DM$50,49,FALSE)/0.3048
                            -
                           VLOOKUP($A45,'Tower configuration'!$A$3:$DM$50,41,FALSE),2)),
                     0),
              0)</f>
        <v>0</v>
      </c>
      <c r="Q45" s="587">
        <f t="shared" si="0"/>
        <v>520</v>
      </c>
      <c r="R45" s="692">
        <f t="shared" si="1"/>
        <v>45.39</v>
      </c>
      <c r="S45" s="692">
        <f t="shared" si="2"/>
        <v>47.07</v>
      </c>
      <c r="T45" s="692">
        <f t="shared" si="3"/>
        <v>55.269999999999996</v>
      </c>
      <c r="U45" s="692">
        <f t="shared" si="4"/>
        <v>63.480000000000004</v>
      </c>
      <c r="V45" s="692">
        <f t="shared" si="5"/>
        <v>0</v>
      </c>
      <c r="W45" s="692">
        <f t="shared" si="6"/>
        <v>0</v>
      </c>
      <c r="X45" s="692">
        <f t="shared" si="7"/>
        <v>0</v>
      </c>
      <c r="Y45" s="692">
        <f t="shared" si="8"/>
        <v>0</v>
      </c>
      <c r="Z45" s="697">
        <f t="shared" si="14"/>
        <v>731.21</v>
      </c>
      <c r="AA45" s="704">
        <f t="shared" si="9"/>
        <v>877.452</v>
      </c>
      <c r="AB45" s="714">
        <f t="shared" si="10"/>
        <v>166</v>
      </c>
      <c r="AC45" s="697">
        <f t="shared" si="11"/>
        <v>830</v>
      </c>
      <c r="AD45" s="704">
        <f t="shared" si="12"/>
        <v>996</v>
      </c>
    </row>
    <row r="46" spans="1:30" ht="15.75" thickBot="1" x14ac:dyDescent="0.3">
      <c r="A46" s="558" t="s">
        <v>1055</v>
      </c>
      <c r="B46" s="559" t="str">
        <f>VLOOKUP($A46,'TIS Site Config'!$A$3:$D$51,2,FALSE)</f>
        <v>D18</v>
      </c>
      <c r="C46" s="48">
        <f>VLOOKUP($A46,'TIS Site Config'!$A$3:$D$51,3,FALSE)</f>
        <v>0</v>
      </c>
      <c r="D46" s="560" t="str">
        <f>VLOOKUP($A46,'TIS Site Config'!$A$3:$D$51,4,FALSE)</f>
        <v>Barrow Environmental Observatory</v>
      </c>
      <c r="E46" s="558">
        <v>100</v>
      </c>
      <c r="F46" s="559">
        <f>VLOOKUP($A46,'TIS Site Config'!$A$3:$AQ$51,10,FALSE)</f>
        <v>26</v>
      </c>
      <c r="G46" s="671">
        <f>VLOOKUP($A46,'TIS Site Config'!$A$3:$AQ$51,12,FALSE)</f>
        <v>2</v>
      </c>
      <c r="H46" s="558">
        <f t="shared" si="13"/>
        <v>4</v>
      </c>
      <c r="I46" s="671">
        <f>IFERROR(
            IF(ISNUMBER(VLOOKUP($A46,'Tower configuration'!$A$3:$DM$50,42,FALSE)),
                    ABS(ROUND(
                           VLOOKUP($A46,'Tower configuration'!$A$3:$DM$50,42,FALSE)/0.3048
                            -
                           VLOOKUP($A46,'Tower configuration'!$A$3:$DM$50,41,FALSE),2)),
                     0),
              0)</f>
        <v>0.55000000000000004</v>
      </c>
      <c r="J46" s="671">
        <f>IFERROR(
            IF(ISNUMBER(VLOOKUP($A46,'Tower configuration'!$A$3:$DM$50,43,FALSE)),
                    ABS(ROUND(
                           VLOOKUP($A46,'Tower configuration'!$A$3:$DM$50,43,FALSE)/0.3048
                            -
                           VLOOKUP($A46,'Tower configuration'!$A$3:$DM$50,41,FALSE),2)),
                     0),
              0)</f>
        <v>2.0699999999999998</v>
      </c>
      <c r="K46" s="671">
        <f>IFERROR(
            IF(ISNUMBER(VLOOKUP($A46,'Tower configuration'!$A$3:$DM$50,44,FALSE)),
                    ABS(ROUND(
                           VLOOKUP($A46,'Tower configuration'!$A$3:$DM$50,44,FALSE)/0.3048
                            -
                           VLOOKUP($A46,'Tower configuration'!$A$3:$DM$50,41,FALSE),2)),
                    0),
              0)</f>
        <v>10.27</v>
      </c>
      <c r="L46" s="671">
        <f>IFERROR(
            IF(ISNUMBER(VLOOKUP($A46,'Tower configuration'!$A$3:$DM$50,45,FALSE)),
                    ABS(ROUND(
                           VLOOKUP($A46,'Tower configuration'!$A$3:$DM$50,45,FALSE)/0.3048
                            -
                           VLOOKUP($A46,'Tower configuration'!$A$3:$DM$50,41,FALSE),2)),
                    0),
              0)</f>
        <v>18.48</v>
      </c>
      <c r="M46" s="671">
        <f>IFERROR(
            IF(ISNUMBER(VLOOKUP($A46,'Tower configuration'!$A$3:$DM$50,46,FALSE)),
                    ABS(ROUND(
                           VLOOKUP($A46,'Tower configuration'!$A$3:$DM$50,46,FALSE)/0.3048
                            -
                           VLOOKUP($A46,'Tower configuration'!$A$3:$DM$50,41,FALSE),2)),
                     0),
              0)</f>
        <v>0</v>
      </c>
      <c r="N46" s="671">
        <f>IFERROR(
            IF(ISNUMBER(VLOOKUP($A46,'Tower configuration'!$A$3:$DM$50,47,FALSE)),
                    ABS(ROUND(
                           VLOOKUP($A46,'Tower configuration'!$A$3:$DM$50,47,FALSE)/0.3048
                            -
                           VLOOKUP($A46,'Tower configuration'!$A$3:$DM$50,41,FALSE),2)),
                    0),
              0)</f>
        <v>0</v>
      </c>
      <c r="O46" s="671">
        <f>IFERROR(
            IF(ISNUMBER(VLOOKUP($A46,'Tower configuration'!$A$3:$DM$50,48,FALSE)),
                    ABS(ROUND(
                           VLOOKUP($A46,'Tower configuration'!$A$3:$DM$50,48,FALSE)/0.3048
                            -
                           VLOOKUP($A46,'Tower configuration'!$A$3:$DM$50,41,FALSE),2)),
                     0),
              0)</f>
        <v>0</v>
      </c>
      <c r="P46" s="353">
        <f>IFERROR(
            IF(ISNUMBER(VLOOKUP($A46,'Tower configuration'!$A$3:$DM$50,49,FALSE)),
                    ABS(ROUND(
                           VLOOKUP($A46,'Tower configuration'!$A$3:$DM$50,49,FALSE)/0.3048
                            -
                           VLOOKUP($A46,'Tower configuration'!$A$3:$DM$50,41,FALSE),2)),
                     0),
              0)</f>
        <v>0</v>
      </c>
      <c r="Q46" s="558">
        <f t="shared" si="0"/>
        <v>520</v>
      </c>
      <c r="R46" s="681">
        <f t="shared" si="1"/>
        <v>45.55</v>
      </c>
      <c r="S46" s="681">
        <f t="shared" si="2"/>
        <v>47.07</v>
      </c>
      <c r="T46" s="681">
        <f t="shared" si="3"/>
        <v>55.269999999999996</v>
      </c>
      <c r="U46" s="681">
        <f t="shared" si="4"/>
        <v>63.480000000000004</v>
      </c>
      <c r="V46" s="681">
        <f t="shared" si="5"/>
        <v>0</v>
      </c>
      <c r="W46" s="681">
        <f t="shared" si="6"/>
        <v>0</v>
      </c>
      <c r="X46" s="681">
        <f t="shared" si="7"/>
        <v>0</v>
      </c>
      <c r="Y46" s="681">
        <f t="shared" si="8"/>
        <v>0</v>
      </c>
      <c r="Z46" s="682">
        <f t="shared" si="14"/>
        <v>731.37</v>
      </c>
      <c r="AA46" s="703">
        <f t="shared" si="9"/>
        <v>877.64400000000001</v>
      </c>
      <c r="AB46" s="713">
        <f t="shared" si="10"/>
        <v>166</v>
      </c>
      <c r="AC46" s="682">
        <f t="shared" si="11"/>
        <v>830</v>
      </c>
      <c r="AD46" s="703">
        <f t="shared" si="12"/>
        <v>996</v>
      </c>
    </row>
    <row r="47" spans="1:30" x14ac:dyDescent="0.25">
      <c r="A47" s="515" t="s">
        <v>243</v>
      </c>
      <c r="B47" s="516" t="str">
        <f>VLOOKUP($A47,'TIS Site Config'!$A$3:$D$51,2,FALSE)</f>
        <v>D19</v>
      </c>
      <c r="C47" s="512">
        <f>VLOOKUP($A47,'TIS Site Config'!$A$3:$D$51,3,FALSE)</f>
        <v>0</v>
      </c>
      <c r="D47" s="564" t="str">
        <f>VLOOKUP($A47,'TIS Site Config'!$A$3:$D$51,4,FALSE)</f>
        <v>Caribou Creek - Poker Flats Watershed</v>
      </c>
      <c r="E47" s="515">
        <v>100</v>
      </c>
      <c r="F47" s="516">
        <f>VLOOKUP($A47,'TIS Site Config'!$A$3:$AQ$51,10,FALSE)</f>
        <v>59</v>
      </c>
      <c r="G47" s="590">
        <f>VLOOKUP($A47,'TIS Site Config'!$A$3:$AQ$51,12,FALSE)</f>
        <v>5</v>
      </c>
      <c r="H47" s="587">
        <f t="shared" si="13"/>
        <v>5</v>
      </c>
      <c r="I47" s="590">
        <f>IFERROR(
            IF(ISNUMBER(VLOOKUP($A47,'Tower configuration'!$A$3:$DM$50,42,FALSE)),
                    ABS(ROUND(
                           VLOOKUP($A47,'Tower configuration'!$A$3:$DM$50,42,FALSE)/0.3048
                            -
                           VLOOKUP($A47,'Tower configuration'!$A$3:$DM$50,41,FALSE),2)),
                     0),
              0)</f>
        <v>4.51</v>
      </c>
      <c r="J47" s="590">
        <f>IFERROR(
            IF(ISNUMBER(VLOOKUP($A47,'Tower configuration'!$A$3:$DM$50,43,FALSE)),
                    ABS(ROUND(
                           VLOOKUP($A47,'Tower configuration'!$A$3:$DM$50,43,FALSE)/0.3048
                            -
                           VLOOKUP($A47,'Tower configuration'!$A$3:$DM$50,41,FALSE),2)),
                     0),
              0)</f>
        <v>0.08</v>
      </c>
      <c r="K47" s="590">
        <f>IFERROR(
            IF(ISNUMBER(VLOOKUP($A47,'Tower configuration'!$A$3:$DM$50,44,FALSE)),
                    ABS(ROUND(
                           VLOOKUP($A47,'Tower configuration'!$A$3:$DM$50,44,FALSE)/0.3048
                            -
                           VLOOKUP($A47,'Tower configuration'!$A$3:$DM$50,41,FALSE),2)),
                    0),
              0)</f>
        <v>8.1199999999999992</v>
      </c>
      <c r="L47" s="590">
        <f>IFERROR(
            IF(ISNUMBER(VLOOKUP($A47,'Tower configuration'!$A$3:$DM$50,45,FALSE)),
                    ABS(ROUND(
                           VLOOKUP($A47,'Tower configuration'!$A$3:$DM$50,45,FALSE)/0.3048
                            -
                           VLOOKUP($A47,'Tower configuration'!$A$3:$DM$50,41,FALSE),2)),
                    0),
              0)</f>
        <v>27.81</v>
      </c>
      <c r="M47" s="590">
        <f>IFERROR(
            IF(ISNUMBER(VLOOKUP($A47,'Tower configuration'!$A$3:$DM$50,46,FALSE)),
                    ABS(ROUND(
                           VLOOKUP($A47,'Tower configuration'!$A$3:$DM$50,46,FALSE)/0.3048
                            -
                           VLOOKUP($A47,'Tower configuration'!$A$3:$DM$50,41,FALSE),2)),
                     0),
              0)</f>
        <v>54.06</v>
      </c>
      <c r="N47" s="590">
        <f>IFERROR(
            IF(ISNUMBER(VLOOKUP($A47,'Tower configuration'!$A$3:$DM$50,47,FALSE)),
                    ABS(ROUND(
                           VLOOKUP($A47,'Tower configuration'!$A$3:$DM$50,47,FALSE)/0.3048
                            -
                           VLOOKUP($A47,'Tower configuration'!$A$3:$DM$50,41,FALSE),2)),
                    0),
              0)</f>
        <v>0</v>
      </c>
      <c r="O47" s="590">
        <f>IFERROR(
            IF(ISNUMBER(VLOOKUP($A47,'Tower configuration'!$A$3:$DM$50,48,FALSE)),
                    ABS(ROUND(
                           VLOOKUP($A47,'Tower configuration'!$A$3:$DM$50,48,FALSE)/0.3048
                            -
                           VLOOKUP($A47,'Tower configuration'!$A$3:$DM$50,41,FALSE),2)),
                     0),
              0)</f>
        <v>0</v>
      </c>
      <c r="P47" s="513">
        <f>IFERROR(
            IF(ISNUMBER(VLOOKUP($A47,'Tower configuration'!$A$3:$DM$50,49,FALSE)),
                    ABS(ROUND(
                           VLOOKUP($A47,'Tower configuration'!$A$3:$DM$50,49,FALSE)/0.3048
                            -
                           VLOOKUP($A47,'Tower configuration'!$A$3:$DM$50,41,FALSE),2)),
                     0),
              0)</f>
        <v>0</v>
      </c>
      <c r="Q47" s="587">
        <f t="shared" si="0"/>
        <v>650</v>
      </c>
      <c r="R47" s="692">
        <f t="shared" si="1"/>
        <v>49.51</v>
      </c>
      <c r="S47" s="692">
        <f t="shared" si="2"/>
        <v>45.08</v>
      </c>
      <c r="T47" s="692">
        <f t="shared" si="3"/>
        <v>53.12</v>
      </c>
      <c r="U47" s="692">
        <f t="shared" si="4"/>
        <v>72.81</v>
      </c>
      <c r="V47" s="692">
        <f t="shared" si="5"/>
        <v>99.06</v>
      </c>
      <c r="W47" s="692">
        <f t="shared" si="6"/>
        <v>0</v>
      </c>
      <c r="X47" s="692">
        <f t="shared" si="7"/>
        <v>0</v>
      </c>
      <c r="Y47" s="692">
        <f t="shared" si="8"/>
        <v>0</v>
      </c>
      <c r="Z47" s="697">
        <f t="shared" si="14"/>
        <v>969.57999999999993</v>
      </c>
      <c r="AA47" s="704">
        <f t="shared" si="9"/>
        <v>1163.4959999999999</v>
      </c>
      <c r="AB47" s="714">
        <f t="shared" si="10"/>
        <v>199</v>
      </c>
      <c r="AC47" s="697">
        <f t="shared" si="11"/>
        <v>995</v>
      </c>
      <c r="AD47" s="704">
        <f t="shared" si="12"/>
        <v>1194</v>
      </c>
    </row>
    <row r="48" spans="1:30" x14ac:dyDescent="0.25">
      <c r="A48" s="530" t="s">
        <v>225</v>
      </c>
      <c r="B48" s="522" t="str">
        <f>VLOOKUP($A48,'TIS Site Config'!$A$3:$D$51,2,FALSE)</f>
        <v>D19</v>
      </c>
      <c r="C48" s="11">
        <f>VLOOKUP($A48,'TIS Site Config'!$A$3:$D$51,3,FALSE)</f>
        <v>0</v>
      </c>
      <c r="D48" s="531" t="str">
        <f>VLOOKUP($A48,'TIS Site Config'!$A$3:$D$51,4,FALSE)</f>
        <v>Delta Junction</v>
      </c>
      <c r="E48" s="530">
        <v>100</v>
      </c>
      <c r="F48" s="522">
        <f>VLOOKUP($A48,'TIS Site Config'!$A$3:$AQ$51,10,FALSE)</f>
        <v>72</v>
      </c>
      <c r="G48" s="668">
        <f>VLOOKUP($A48,'TIS Site Config'!$A$3:$AQ$51,12,FALSE)</f>
        <v>6</v>
      </c>
      <c r="H48" s="533">
        <f t="shared" si="13"/>
        <v>5</v>
      </c>
      <c r="I48" s="668">
        <f>IFERROR(
            IF(ISNUMBER(VLOOKUP($A48,'Tower configuration'!$A$3:$DM$50,42,FALSE)),
                    ABS(ROUND(
                           VLOOKUP($A48,'Tower configuration'!$A$3:$DM$50,42,FALSE)/0.3048
                            -
                           VLOOKUP($A48,'Tower configuration'!$A$3:$DM$50,41,FALSE),2)),
                     0),
              0)</f>
        <v>1.67</v>
      </c>
      <c r="J48" s="668">
        <f>IFERROR(
            IF(ISNUMBER(VLOOKUP($A48,'Tower configuration'!$A$3:$DM$50,43,FALSE)),
                    ABS(ROUND(
                           VLOOKUP($A48,'Tower configuration'!$A$3:$DM$50,43,FALSE)/0.3048
                            -
                           VLOOKUP($A48,'Tower configuration'!$A$3:$DM$50,41,FALSE),2)),
                     0),
              0)</f>
        <v>1.1100000000000001</v>
      </c>
      <c r="K48" s="668">
        <f>IFERROR(
            IF(ISNUMBER(VLOOKUP($A48,'Tower configuration'!$A$3:$DM$50,44,FALSE)),
                    ABS(ROUND(
                           VLOOKUP($A48,'Tower configuration'!$A$3:$DM$50,44,FALSE)/0.3048
                            -
                           VLOOKUP($A48,'Tower configuration'!$A$3:$DM$50,41,FALSE),2)),
                    0),
              0)</f>
        <v>17.52</v>
      </c>
      <c r="L48" s="668">
        <f>IFERROR(
            IF(ISNUMBER(VLOOKUP($A48,'Tower configuration'!$A$3:$DM$50,45,FALSE)),
                    ABS(ROUND(
                           VLOOKUP($A48,'Tower configuration'!$A$3:$DM$50,45,FALSE)/0.3048
                            -
                           VLOOKUP($A48,'Tower configuration'!$A$3:$DM$50,41,FALSE),2)),
                    0),
              0)</f>
        <v>40.479999999999997</v>
      </c>
      <c r="M48" s="668">
        <f>IFERROR(
            IF(ISNUMBER(VLOOKUP($A48,'Tower configuration'!$A$3:$DM$50,46,FALSE)),
                    ABS(ROUND(
                           VLOOKUP($A48,'Tower configuration'!$A$3:$DM$50,46,FALSE)/0.3048
                            -
                           VLOOKUP($A48,'Tower configuration'!$A$3:$DM$50,41,FALSE),2)),
                     0),
              0)</f>
        <v>60.17</v>
      </c>
      <c r="N48" s="668">
        <f>IFERROR(
            IF(ISNUMBER(VLOOKUP($A48,'Tower configuration'!$A$3:$DM$50,47,FALSE)),
                    ABS(ROUND(
                           VLOOKUP($A48,'Tower configuration'!$A$3:$DM$50,47,FALSE)/0.3048
                            -
                           VLOOKUP($A48,'Tower configuration'!$A$3:$DM$50,41,FALSE),2)),
                    0),
              0)</f>
        <v>0</v>
      </c>
      <c r="O48" s="668">
        <f>IFERROR(
            IF(ISNUMBER(VLOOKUP($A48,'Tower configuration'!$A$3:$DM$50,48,FALSE)),
                    ABS(ROUND(
                           VLOOKUP($A48,'Tower configuration'!$A$3:$DM$50,48,FALSE)/0.3048
                            -
                           VLOOKUP($A48,'Tower configuration'!$A$3:$DM$50,41,FALSE),2)),
                     0),
              0)</f>
        <v>0</v>
      </c>
      <c r="P48" s="351">
        <f>IFERROR(
            IF(ISNUMBER(VLOOKUP($A48,'Tower configuration'!$A$3:$DM$50,49,FALSE)),
                    ABS(ROUND(
                           VLOOKUP($A48,'Tower configuration'!$A$3:$DM$50,49,FALSE)/0.3048
                            -
                           VLOOKUP($A48,'Tower configuration'!$A$3:$DM$50,41,FALSE),2)),
                     0),
              0)</f>
        <v>0</v>
      </c>
      <c r="Q48" s="533">
        <f t="shared" si="0"/>
        <v>650</v>
      </c>
      <c r="R48" s="683">
        <f t="shared" si="1"/>
        <v>46.67</v>
      </c>
      <c r="S48" s="683">
        <f t="shared" si="2"/>
        <v>46.11</v>
      </c>
      <c r="T48" s="683">
        <f t="shared" si="3"/>
        <v>62.519999999999996</v>
      </c>
      <c r="U48" s="683">
        <f t="shared" si="4"/>
        <v>85.47999999999999</v>
      </c>
      <c r="V48" s="683">
        <f t="shared" si="5"/>
        <v>105.17</v>
      </c>
      <c r="W48" s="683">
        <f t="shared" si="6"/>
        <v>0</v>
      </c>
      <c r="X48" s="683">
        <f t="shared" si="7"/>
        <v>0</v>
      </c>
      <c r="Y48" s="683">
        <f t="shared" si="8"/>
        <v>0</v>
      </c>
      <c r="Z48" s="694">
        <f t="shared" si="14"/>
        <v>995.94999999999993</v>
      </c>
      <c r="AA48" s="700">
        <f t="shared" si="9"/>
        <v>1195.1399999999999</v>
      </c>
      <c r="AB48" s="710">
        <f t="shared" si="10"/>
        <v>212</v>
      </c>
      <c r="AC48" s="694">
        <f t="shared" si="11"/>
        <v>1060</v>
      </c>
      <c r="AD48" s="700">
        <f t="shared" si="12"/>
        <v>1272</v>
      </c>
    </row>
    <row r="49" spans="1:30" ht="15.75" thickBot="1" x14ac:dyDescent="0.3">
      <c r="A49" s="558" t="s">
        <v>226</v>
      </c>
      <c r="B49" s="559" t="str">
        <f>VLOOKUP($A49,'TIS Site Config'!$A$3:$D$51,2,FALSE)</f>
        <v>D19</v>
      </c>
      <c r="C49" s="48" t="str">
        <f>VLOOKUP($A49,'TIS Site Config'!$A$3:$D$51,3,FALSE)</f>
        <v>D-FY15-3</v>
      </c>
      <c r="D49" s="560" t="str">
        <f>VLOOKUP($A49,'TIS Site Config'!$A$3:$D$51,4,FALSE)</f>
        <v>Healy (Eight Mile)</v>
      </c>
      <c r="E49" s="558">
        <v>100</v>
      </c>
      <c r="F49" s="559">
        <f>VLOOKUP($A49,'TIS Site Config'!$A$3:$AQ$51,10,FALSE)</f>
        <v>26</v>
      </c>
      <c r="G49" s="671">
        <f>VLOOKUP($A49,'TIS Site Config'!$A$3:$AQ$51,12,FALSE)</f>
        <v>2</v>
      </c>
      <c r="H49" s="558">
        <f t="shared" si="13"/>
        <v>4</v>
      </c>
      <c r="I49" s="671">
        <f>IFERROR(
            IF(ISNUMBER(VLOOKUP($A49,'Tower configuration'!$A$3:$DM$50,42,FALSE)),
                    ABS(ROUND(
                           VLOOKUP($A49,'Tower configuration'!$A$3:$DM$50,42,FALSE)/0.3048
                            -
                           VLOOKUP($A49,'Tower configuration'!$A$3:$DM$50,41,FALSE),2)),
                     0),
              0)</f>
        <v>1.84</v>
      </c>
      <c r="J49" s="671">
        <f>IFERROR(
            IF(ISNUMBER(VLOOKUP($A49,'Tower configuration'!$A$3:$DM$50,43,FALSE)),
                    ABS(ROUND(
                           VLOOKUP($A49,'Tower configuration'!$A$3:$DM$50,43,FALSE)/0.3048
                            -
                           VLOOKUP($A49,'Tower configuration'!$A$3:$DM$50,41,FALSE),2)),
                     0),
              0)</f>
        <v>0.78</v>
      </c>
      <c r="K49" s="671">
        <f>IFERROR(
            IF(ISNUMBER(VLOOKUP($A49,'Tower configuration'!$A$3:$DM$50,44,FALSE)),
                    ABS(ROUND(
                           VLOOKUP($A49,'Tower configuration'!$A$3:$DM$50,44,FALSE)/0.3048
                            -
                           VLOOKUP($A49,'Tower configuration'!$A$3:$DM$50,41,FALSE),2)),
                    0),
              0)</f>
        <v>12.26</v>
      </c>
      <c r="L49" s="671">
        <f>IFERROR(
            IF(ISNUMBER(VLOOKUP($A49,'Tower configuration'!$A$3:$DM$50,45,FALSE)),
                    ABS(ROUND(
                           VLOOKUP($A49,'Tower configuration'!$A$3:$DM$50,45,FALSE)/0.3048
                            -
                           VLOOKUP($A49,'Tower configuration'!$A$3:$DM$50,41,FALSE),2)),
                    0),
              0)</f>
        <v>23.75</v>
      </c>
      <c r="M49" s="671">
        <f>IFERROR(
            IF(ISNUMBER(VLOOKUP($A49,'Tower configuration'!$A$3:$DM$50,46,FALSE)),
                    ABS(ROUND(
                           VLOOKUP($A49,'Tower configuration'!$A$3:$DM$50,46,FALSE)/0.3048
                            -
                           VLOOKUP($A49,'Tower configuration'!$A$3:$DM$50,41,FALSE),2)),
                     0),
              0)</f>
        <v>0</v>
      </c>
      <c r="N49" s="671">
        <f>IFERROR(
            IF(ISNUMBER(VLOOKUP($A49,'Tower configuration'!$A$3:$DM$50,47,FALSE)),
                    ABS(ROUND(
                           VLOOKUP($A49,'Tower configuration'!$A$3:$DM$50,47,FALSE)/0.3048
                            -
                           VLOOKUP($A49,'Tower configuration'!$A$3:$DM$50,41,FALSE),2)),
                    0),
              0)</f>
        <v>0</v>
      </c>
      <c r="O49" s="671">
        <f>IFERROR(
            IF(ISNUMBER(VLOOKUP($A49,'Tower configuration'!$A$3:$DM$50,48,FALSE)),
                    ABS(ROUND(
                           VLOOKUP($A49,'Tower configuration'!$A$3:$DM$50,48,FALSE)/0.3048
                            -
                           VLOOKUP($A49,'Tower configuration'!$A$3:$DM$50,41,FALSE),2)),
                     0),
              0)</f>
        <v>0</v>
      </c>
      <c r="P49" s="353">
        <f>IFERROR(
            IF(ISNUMBER(VLOOKUP($A49,'Tower configuration'!$A$3:$DM$50,49,FALSE)),
                    ABS(ROUND(
                           VLOOKUP($A49,'Tower configuration'!$A$3:$DM$50,49,FALSE)/0.3048
                            -
                           VLOOKUP($A49,'Tower configuration'!$A$3:$DM$50,41,FALSE),2)),
                     0),
              0)</f>
        <v>0</v>
      </c>
      <c r="Q49" s="558">
        <f t="shared" si="0"/>
        <v>520</v>
      </c>
      <c r="R49" s="681">
        <f t="shared" si="1"/>
        <v>46.84</v>
      </c>
      <c r="S49" s="681">
        <f t="shared" si="2"/>
        <v>45.78</v>
      </c>
      <c r="T49" s="681">
        <f t="shared" si="3"/>
        <v>57.26</v>
      </c>
      <c r="U49" s="681">
        <f t="shared" si="4"/>
        <v>68.75</v>
      </c>
      <c r="V49" s="681">
        <f t="shared" si="5"/>
        <v>0</v>
      </c>
      <c r="W49" s="681">
        <f t="shared" si="6"/>
        <v>0</v>
      </c>
      <c r="X49" s="681">
        <f t="shared" si="7"/>
        <v>0</v>
      </c>
      <c r="Y49" s="681">
        <f t="shared" si="8"/>
        <v>0</v>
      </c>
      <c r="Z49" s="682">
        <f t="shared" si="14"/>
        <v>738.63</v>
      </c>
      <c r="AA49" s="703">
        <f t="shared" si="9"/>
        <v>886.35599999999999</v>
      </c>
      <c r="AB49" s="713">
        <f t="shared" si="10"/>
        <v>166</v>
      </c>
      <c r="AC49" s="682">
        <f t="shared" si="11"/>
        <v>830</v>
      </c>
      <c r="AD49" s="703">
        <f t="shared" si="12"/>
        <v>996</v>
      </c>
    </row>
    <row r="50" spans="1:30" ht="15.75" thickBot="1" x14ac:dyDescent="0.3">
      <c r="A50" s="586" t="s">
        <v>1179</v>
      </c>
      <c r="B50" s="524" t="str">
        <f>VLOOKUP($A50,'TIS Site Config'!$A$3:$D$51,2,FALSE)</f>
        <v>D20</v>
      </c>
      <c r="C50" s="524">
        <f>VLOOKUP($A50,'TIS Site Config'!$A$3:$D$51,3,FALSE)</f>
        <v>0</v>
      </c>
      <c r="D50" s="525" t="str">
        <f>VLOOKUP($A50,'TIS Site Config'!$A$3:$D$51,4,FALSE)</f>
        <v>Pu'u Maka'ala Natural Area Reserve</v>
      </c>
      <c r="E50" s="586">
        <v>100</v>
      </c>
      <c r="F50" s="524">
        <f>VLOOKUP($A50,'TIS Site Config'!$A$3:$AQ$51,10,FALSE)</f>
        <v>105</v>
      </c>
      <c r="G50" s="667">
        <f>VLOOKUP($A50,'TIS Site Config'!$A$3:$AQ$51,12,FALSE)</f>
        <v>9</v>
      </c>
      <c r="H50" s="586">
        <f t="shared" si="13"/>
        <v>6</v>
      </c>
      <c r="I50" s="667">
        <f>IFERROR(
            IF(ISNUMBER(VLOOKUP($A50,'Tower configuration'!$A$3:$DM$50,42,FALSE)),
                    ABS(ROUND(
                           VLOOKUP($A50,'Tower configuration'!$A$3:$DM$50,42,FALSE)/0.3048
                            -
                           VLOOKUP($A50,'Tower configuration'!$A$3:$DM$50,41,FALSE),2)),
                     0),
              0)</f>
        <v>1.18</v>
      </c>
      <c r="J50" s="667">
        <f>IFERROR(
            IF(ISNUMBER(VLOOKUP($A50,'Tower configuration'!$A$3:$DM$50,43,FALSE)),
                    ABS(ROUND(
                           VLOOKUP($A50,'Tower configuration'!$A$3:$DM$50,43,FALSE)/0.3048
                            -
                           VLOOKUP($A50,'Tower configuration'!$A$3:$DM$50,41,FALSE),2)),
                     0),
              0)</f>
        <v>10.96</v>
      </c>
      <c r="K50" s="667">
        <f>IFERROR(
            IF(ISNUMBER(VLOOKUP($A50,'Tower configuration'!$A$3:$DM$50,44,FALSE)),
                    ABS(ROUND(
                           VLOOKUP($A50,'Tower configuration'!$A$3:$DM$50,44,FALSE)/0.3048
                            -
                           VLOOKUP($A50,'Tower configuration'!$A$3:$DM$50,41,FALSE),2)),
                    0),
              0)</f>
        <v>37.200000000000003</v>
      </c>
      <c r="L50" s="667">
        <f>IFERROR(
            IF(ISNUMBER(VLOOKUP($A50,'Tower configuration'!$A$3:$DM$50,45,FALSE)),
                    ABS(ROUND(
                           VLOOKUP($A50,'Tower configuration'!$A$3:$DM$50,45,FALSE)/0.3048
                            -
                           VLOOKUP($A50,'Tower configuration'!$A$3:$DM$50,41,FALSE),2)),
                    0),
              0)</f>
        <v>60.17</v>
      </c>
      <c r="M50" s="667">
        <f>IFERROR(
            IF(ISNUMBER(VLOOKUP($A50,'Tower configuration'!$A$3:$DM$50,46,FALSE)),
                    ABS(ROUND(
                           VLOOKUP($A50,'Tower configuration'!$A$3:$DM$50,46,FALSE)/0.3048
                            -
                           VLOOKUP($A50,'Tower configuration'!$A$3:$DM$50,41,FALSE),2)),
                     0),
              0)</f>
        <v>76.569999999999993</v>
      </c>
      <c r="N50" s="667">
        <f>IFERROR(
            IF(ISNUMBER(VLOOKUP($A50,'Tower configuration'!$A$3:$DM$50,47,FALSE)),
                    ABS(ROUND(
                           VLOOKUP($A50,'Tower configuration'!$A$3:$DM$50,47,FALSE)/0.3048
                            -
                           VLOOKUP($A50,'Tower configuration'!$A$3:$DM$50,41,FALSE),2)),
                    0),
              0)</f>
        <v>97.9</v>
      </c>
      <c r="O50" s="667">
        <f>IFERROR(
            IF(ISNUMBER(VLOOKUP($A50,'Tower configuration'!$A$3:$DM$50,48,FALSE)),
                    ABS(ROUND(
                           VLOOKUP($A50,'Tower configuration'!$A$3:$DM$50,48,FALSE)/0.3048
                            -
                           VLOOKUP($A50,'Tower configuration'!$A$3:$DM$50,41,FALSE),2)),
                     0),
              0)</f>
        <v>0</v>
      </c>
      <c r="P50" s="687">
        <f>IFERROR(
            IF(ISNUMBER(VLOOKUP($A50,'Tower configuration'!$A$3:$DM$50,49,FALSE)),
                    ABS(ROUND(
                           VLOOKUP($A50,'Tower configuration'!$A$3:$DM$50,49,FALSE)/0.3048
                            -
                           VLOOKUP($A50,'Tower configuration'!$A$3:$DM$50,41,FALSE),2)),
                     0),
              0)</f>
        <v>0</v>
      </c>
      <c r="Q50" s="586">
        <f t="shared" si="0"/>
        <v>780</v>
      </c>
      <c r="R50" s="678">
        <f t="shared" si="1"/>
        <v>46.18</v>
      </c>
      <c r="S50" s="678">
        <f t="shared" si="2"/>
        <v>55.96</v>
      </c>
      <c r="T50" s="678">
        <f t="shared" si="3"/>
        <v>82.2</v>
      </c>
      <c r="U50" s="678">
        <f t="shared" si="4"/>
        <v>105.17</v>
      </c>
      <c r="V50" s="678">
        <f t="shared" si="5"/>
        <v>121.57</v>
      </c>
      <c r="W50" s="678">
        <f t="shared" si="6"/>
        <v>142.9</v>
      </c>
      <c r="X50" s="678">
        <f t="shared" si="7"/>
        <v>0</v>
      </c>
      <c r="Y50" s="678">
        <f t="shared" si="8"/>
        <v>0</v>
      </c>
      <c r="Z50" s="680">
        <f t="shared" si="14"/>
        <v>1333.98</v>
      </c>
      <c r="AA50" s="699">
        <f t="shared" si="9"/>
        <v>1600.7760000000001</v>
      </c>
      <c r="AB50" s="709">
        <f t="shared" si="10"/>
        <v>245</v>
      </c>
      <c r="AC50" s="680">
        <f t="shared" si="11"/>
        <v>1225</v>
      </c>
      <c r="AD50" s="699">
        <f t="shared" si="12"/>
        <v>1470</v>
      </c>
    </row>
    <row r="51" spans="1:30" ht="15.75" thickBot="1" x14ac:dyDescent="0.3">
      <c r="A51" s="570" t="s">
        <v>274</v>
      </c>
      <c r="B51" s="47" t="str">
        <f>VLOOKUP($A51,'TIS Site Config'!$A$3:$D$51,2,FALSE)</f>
        <v>D23</v>
      </c>
      <c r="C51" s="47" t="str">
        <f>VLOOKUP($A51,'TIS Site Config'!$A$3:$D$51,3,FALSE)</f>
        <v>A-FY14</v>
      </c>
      <c r="D51" s="571" t="str">
        <f>VLOOKUP($A51,'TIS Site Config'!$A$3:$D$51,4,FALSE)</f>
        <v>HQ Tower</v>
      </c>
      <c r="E51" s="570">
        <v>100</v>
      </c>
      <c r="F51" s="47">
        <f>VLOOKUP($A51,'TIS Site Config'!$A$3:$AQ$51,10,FALSE)</f>
        <v>26</v>
      </c>
      <c r="G51" s="672">
        <f>VLOOKUP($A51,'TIS Site Config'!$A$3:$AQ$51,12,FALSE)</f>
        <v>2</v>
      </c>
      <c r="H51" s="690">
        <f t="shared" si="13"/>
        <v>0</v>
      </c>
      <c r="I51" s="672">
        <f>IFERROR(
            IF(ISNUMBER(VLOOKUP($A51,'Tower configuration'!$A$3:$DM$50,42,FALSE)),
                    ABS(ROUND(
                           VLOOKUP($A51,'Tower configuration'!$A$3:$DM$50,42,FALSE)/0.3048
                            -
                           VLOOKUP($A51,'Tower configuration'!$A$3:$DM$50,41,FALSE),2)),
                     0),
              0)</f>
        <v>0</v>
      </c>
      <c r="J51" s="672">
        <f>IFERROR(
            IF(ISNUMBER(VLOOKUP($A51,'Tower configuration'!$A$3:$DM$50,43,FALSE)),
                    ABS(ROUND(
                           VLOOKUP($A51,'Tower configuration'!$A$3:$DM$50,43,FALSE)/0.3048
                            -
                           VLOOKUP($A51,'Tower configuration'!$A$3:$DM$50,41,FALSE),2)),
                     0),
              0)</f>
        <v>0</v>
      </c>
      <c r="K51" s="672">
        <f>IFERROR(
            IF(ISNUMBER(VLOOKUP($A51,'Tower configuration'!$A$3:$DM$50,44,FALSE)),
                    ABS(ROUND(
                           VLOOKUP($A51,'Tower configuration'!$A$3:$DM$50,44,FALSE)/0.3048
                            -
                           VLOOKUP($A51,'Tower configuration'!$A$3:$DM$50,41,FALSE),2)),
                    0),
              0)</f>
        <v>0</v>
      </c>
      <c r="L51" s="672">
        <f>IFERROR(
            IF(ISNUMBER(VLOOKUP($A51,'Tower configuration'!$A$3:$DM$50,45,FALSE)),
                    ABS(ROUND(
                           VLOOKUP($A51,'Tower configuration'!$A$3:$DM$50,45,FALSE)/0.3048
                            -
                           VLOOKUP($A51,'Tower configuration'!$A$3:$DM$50,41,FALSE),2)),
                    0),
              0)</f>
        <v>0</v>
      </c>
      <c r="M51" s="672">
        <f>IFERROR(
            IF(ISNUMBER(VLOOKUP($A51,'Tower configuration'!$A$3:$DM$50,46,FALSE)),
                    ABS(ROUND(
                           VLOOKUP($A51,'Tower configuration'!$A$3:$DM$50,46,FALSE)/0.3048
                            -
                           VLOOKUP($A51,'Tower configuration'!$A$3:$DM$50,41,FALSE),2)),
                     0),
              0)</f>
        <v>0</v>
      </c>
      <c r="N51" s="672">
        <f>IFERROR(
            IF(ISNUMBER(VLOOKUP($A51,'Tower configuration'!$A$3:$DM$50,47,FALSE)),
                    ABS(ROUND(
                           VLOOKUP($A51,'Tower configuration'!$A$3:$DM$50,47,FALSE)/0.3048
                            -
                           VLOOKUP($A51,'Tower configuration'!$A$3:$DM$50,41,FALSE),2)),
                    0),
              0)</f>
        <v>0</v>
      </c>
      <c r="O51" s="672">
        <f>IFERROR(
            IF(ISNUMBER(VLOOKUP($A51,'Tower configuration'!$A$3:$DM$50,48,FALSE)),
                    ABS(ROUND(
                           VLOOKUP($A51,'Tower configuration'!$A$3:$DM$50,48,FALSE)/0.3048
                            -
                           VLOOKUP($A51,'Tower configuration'!$A$3:$DM$50,41,FALSE),2)),
                     0),
              0)</f>
        <v>0</v>
      </c>
      <c r="P51" s="577">
        <f>IFERROR(
            IF(ISNUMBER(VLOOKUP($A51,'Tower configuration'!$A$3:$DM$50,49,FALSE)),
                    ABS(ROUND(
                           VLOOKUP($A51,'Tower configuration'!$A$3:$DM$50,49,FALSE)/0.3048
                            -
                           VLOOKUP($A51,'Tower configuration'!$A$3:$DM$50,41,FALSE),2)),
                     0),
              0)</f>
        <v>0</v>
      </c>
      <c r="Q51" s="690">
        <f t="shared" si="0"/>
        <v>0</v>
      </c>
      <c r="R51" s="693">
        <f t="shared" si="1"/>
        <v>0</v>
      </c>
      <c r="S51" s="693">
        <f t="shared" si="2"/>
        <v>0</v>
      </c>
      <c r="T51" s="693">
        <f t="shared" si="3"/>
        <v>0</v>
      </c>
      <c r="U51" s="693">
        <f t="shared" si="4"/>
        <v>0</v>
      </c>
      <c r="V51" s="693">
        <f t="shared" si="5"/>
        <v>0</v>
      </c>
      <c r="W51" s="693">
        <f t="shared" si="6"/>
        <v>0</v>
      </c>
      <c r="X51" s="693">
        <f t="shared" si="7"/>
        <v>0</v>
      </c>
      <c r="Y51" s="693">
        <f t="shared" si="8"/>
        <v>0</v>
      </c>
      <c r="Z51" s="698">
        <f t="shared" si="14"/>
        <v>0</v>
      </c>
      <c r="AA51" s="705">
        <f t="shared" si="9"/>
        <v>0</v>
      </c>
      <c r="AB51" s="715">
        <f t="shared" si="10"/>
        <v>166</v>
      </c>
      <c r="AC51" s="698">
        <f t="shared" si="11"/>
        <v>830</v>
      </c>
      <c r="AD51" s="705">
        <f t="shared" si="12"/>
        <v>996</v>
      </c>
    </row>
    <row r="54" spans="1:30" ht="15.75" thickBot="1" x14ac:dyDescent="0.3">
      <c r="D54" t="s">
        <v>893</v>
      </c>
    </row>
    <row r="55" spans="1:30" ht="15.75" thickBot="1" x14ac:dyDescent="0.3">
      <c r="D55" s="659" t="s">
        <v>892</v>
      </c>
      <c r="E55" s="660" t="s">
        <v>894</v>
      </c>
    </row>
    <row r="56" spans="1:30" ht="15.75" thickTop="1" x14ac:dyDescent="0.25">
      <c r="D56" s="652" t="s">
        <v>895</v>
      </c>
      <c r="E56" s="653">
        <v>0</v>
      </c>
    </row>
    <row r="57" spans="1:30" x14ac:dyDescent="0.25">
      <c r="D57" s="654" t="s">
        <v>896</v>
      </c>
      <c r="E57" s="655">
        <v>10</v>
      </c>
    </row>
    <row r="58" spans="1:30" x14ac:dyDescent="0.25">
      <c r="D58" s="654" t="s">
        <v>897</v>
      </c>
      <c r="E58" s="655">
        <v>15</v>
      </c>
    </row>
    <row r="59" spans="1:30" x14ac:dyDescent="0.25">
      <c r="D59" s="654" t="s">
        <v>898</v>
      </c>
      <c r="E59" s="655">
        <v>15</v>
      </c>
    </row>
    <row r="60" spans="1:30" x14ac:dyDescent="0.25">
      <c r="D60" s="656" t="s">
        <v>899</v>
      </c>
      <c r="E60" s="655">
        <v>25</v>
      </c>
    </row>
    <row r="61" spans="1:30" x14ac:dyDescent="0.25">
      <c r="D61" s="654" t="s">
        <v>900</v>
      </c>
      <c r="E61" s="655">
        <v>20</v>
      </c>
    </row>
    <row r="62" spans="1:30" ht="15.75" thickBot="1" x14ac:dyDescent="0.3">
      <c r="D62" s="657" t="s">
        <v>901</v>
      </c>
      <c r="E62" s="658">
        <v>5</v>
      </c>
    </row>
    <row r="63" spans="1:30" x14ac:dyDescent="0.25">
      <c r="D63" s="661" t="s">
        <v>891</v>
      </c>
      <c r="E63" s="662">
        <v>5</v>
      </c>
    </row>
    <row r="64" spans="1:30" x14ac:dyDescent="0.25">
      <c r="D64" s="663" t="s">
        <v>890</v>
      </c>
      <c r="E64" s="664">
        <v>0.2</v>
      </c>
    </row>
    <row r="65" spans="4:5" ht="15.75" thickBot="1" x14ac:dyDescent="0.3">
      <c r="D65" s="303"/>
      <c r="E65" s="665"/>
    </row>
  </sheetData>
  <protectedRanges>
    <protectedRange sqref="E56:E63" name="Range1_1"/>
  </protectedRanges>
  <autoFilter ref="A3:AD51"/>
  <mergeCells count="5">
    <mergeCell ref="A2:D2"/>
    <mergeCell ref="E2:G2"/>
    <mergeCell ref="H2:P2"/>
    <mergeCell ref="Q2:AA2"/>
    <mergeCell ref="AB2:AD2"/>
  </mergeCells>
  <conditionalFormatting sqref="A4:AD51">
    <cfRule type="expression" dxfId="37" priority="1">
      <formula>$C4="Soft"</formula>
    </cfRule>
  </conditionalFormatting>
  <conditionalFormatting sqref="E4:E51">
    <cfRule type="expression" dxfId="36" priority="7">
      <formula>$E4=""</formula>
    </cfRule>
  </conditionalFormatting>
  <conditionalFormatting sqref="AA4:AA51 AD4:AD51">
    <cfRule type="expression" dxfId="35" priority="2">
      <formula>$E4=0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BO158"/>
  <sheetViews>
    <sheetView showZeros="0" zoomScale="85" zoomScaleNormal="85" workbookViewId="0">
      <pane xSplit="12" ySplit="2" topLeftCell="M26" activePane="bottomRight" state="frozen"/>
      <selection pane="topRight" activeCell="M1" sqref="M1"/>
      <selection pane="bottomLeft" activeCell="A3" sqref="A3"/>
      <selection pane="bottomRight" activeCell="C46" sqref="C46"/>
    </sheetView>
  </sheetViews>
  <sheetFormatPr defaultColWidth="9.140625" defaultRowHeight="15" x14ac:dyDescent="0.25"/>
  <cols>
    <col min="1" max="1" width="15" style="7" customWidth="1"/>
    <col min="2" max="2" width="27.140625" style="4" customWidth="1"/>
    <col min="3" max="3" width="90.28515625" style="78" customWidth="1"/>
    <col min="4" max="4" width="7.42578125" style="79" customWidth="1"/>
    <col min="5" max="5" width="16.28515625" style="14" customWidth="1"/>
    <col min="6" max="6" width="13.42578125" style="80" customWidth="1"/>
    <col min="7" max="7" width="12.5703125" style="14" hidden="1" customWidth="1"/>
    <col min="8" max="8" width="8.140625" style="14" hidden="1" customWidth="1"/>
    <col min="9" max="9" width="8.7109375" style="14" hidden="1" customWidth="1"/>
    <col min="10" max="10" width="7.42578125" style="14" hidden="1" customWidth="1"/>
    <col min="11" max="11" width="13" style="14" hidden="1" customWidth="1"/>
    <col min="12" max="12" width="12.28515625" style="14" hidden="1" customWidth="1"/>
    <col min="13" max="17" width="8.7109375" style="109" customWidth="1"/>
    <col min="18" max="20" width="8.7109375" style="35" customWidth="1"/>
    <col min="21" max="29" width="8.7109375" style="109" customWidth="1"/>
    <col min="30" max="30" width="8.7109375" style="123" customWidth="1"/>
    <col min="31" max="37" width="8.7109375" style="109" customWidth="1"/>
    <col min="38" max="38" width="8.7109375" style="35" customWidth="1"/>
    <col min="39" max="39" width="8.7109375" style="151" customWidth="1"/>
    <col min="40" max="44" width="8.7109375" style="109" customWidth="1"/>
    <col min="45" max="45" width="8.7109375" style="123" customWidth="1"/>
    <col min="46" max="46" width="8.7109375" style="109" customWidth="1"/>
    <col min="47" max="47" width="8.7109375" style="35" customWidth="1"/>
    <col min="48" max="58" width="8.7109375" style="109" customWidth="1"/>
    <col min="59" max="59" width="11" style="109" bestFit="1" customWidth="1"/>
    <col min="60" max="60" width="8.7109375" style="35" customWidth="1"/>
    <col min="61" max="61" width="14.42578125" style="3" customWidth="1"/>
    <col min="62" max="16384" width="9.140625" style="3"/>
  </cols>
  <sheetData>
    <row r="1" spans="1:67" x14ac:dyDescent="0.25">
      <c r="A1" s="1218" t="s">
        <v>0</v>
      </c>
      <c r="B1" s="1358" t="s">
        <v>136</v>
      </c>
      <c r="C1" s="1210" t="s">
        <v>23</v>
      </c>
      <c r="D1" s="1203" t="s">
        <v>865</v>
      </c>
      <c r="E1" s="1205" t="s">
        <v>135</v>
      </c>
      <c r="F1" s="1203" t="s">
        <v>504</v>
      </c>
      <c r="G1" s="1370" t="s">
        <v>507</v>
      </c>
      <c r="H1" s="1367" t="s">
        <v>505</v>
      </c>
      <c r="I1" s="1367" t="s">
        <v>506</v>
      </c>
      <c r="J1" s="1367" t="s">
        <v>508</v>
      </c>
      <c r="K1" s="1384" t="s">
        <v>509</v>
      </c>
      <c r="L1" s="1382" t="s">
        <v>866</v>
      </c>
      <c r="M1" s="108" t="str">
        <f>VLOOKUP(M2,'TIS Site Config'!$A$3:$AQ$51,2,FALSE)</f>
        <v>D01</v>
      </c>
      <c r="N1" s="104" t="str">
        <f>VLOOKUP(N2,'TIS Site Config'!$A$3:$AQ$51,2,FALSE)</f>
        <v>D01</v>
      </c>
      <c r="O1" s="107" t="str">
        <f>VLOOKUP(O2,'TIS Site Config'!$A$3:$AQ$51,2,FALSE)</f>
        <v>D02</v>
      </c>
      <c r="P1" s="106" t="str">
        <f>VLOOKUP(P2,'TIS Site Config'!$A$3:$AQ$51,2,FALSE)</f>
        <v>D02</v>
      </c>
      <c r="Q1" s="104" t="str">
        <f>VLOOKUP(Q2,'TIS Site Config'!$A$3:$AQ$51,2,FALSE)</f>
        <v>D02</v>
      </c>
      <c r="R1" s="983" t="str">
        <f>VLOOKUP(R2,'TIS Site Config'!$A$3:$AQ$51,2,FALSE)</f>
        <v>D03</v>
      </c>
      <c r="S1" s="100" t="str">
        <f>VLOOKUP(S2,'TIS Site Config'!$A$3:$AQ$51,2,FALSE)</f>
        <v>D03</v>
      </c>
      <c r="T1" s="984" t="str">
        <f>VLOOKUP(T2,'TIS Site Config'!$A$3:$AQ$51,2,FALSE)</f>
        <v>D03</v>
      </c>
      <c r="U1" s="108" t="str">
        <f>VLOOKUP(U2,'TIS Site Config'!$A$3:$AQ$51,2,FALSE)</f>
        <v>D04</v>
      </c>
      <c r="V1" s="104" t="str">
        <f>VLOOKUP(V2,'TIS Site Config'!$A$3:$AQ$51,2,FALSE)</f>
        <v>D04</v>
      </c>
      <c r="W1" s="105" t="str">
        <f>VLOOKUP(W2,'TIS Site Config'!$A$3:$AQ$51,2,FALSE)</f>
        <v>D05</v>
      </c>
      <c r="X1" s="106" t="str">
        <f>VLOOKUP(X2,'TIS Site Config'!$A$3:$AQ$51,2,FALSE)</f>
        <v>D05</v>
      </c>
      <c r="Y1" s="104" t="str">
        <f>VLOOKUP(Y2,'TIS Site Config'!$A$3:$AQ$51,2,FALSE)</f>
        <v>D05</v>
      </c>
      <c r="Z1" s="108" t="str">
        <f>VLOOKUP(Z2,'TIS Site Config'!$A$3:$AQ$51,2,FALSE)</f>
        <v>D06</v>
      </c>
      <c r="AA1" s="106" t="str">
        <f>VLOOKUP(AA2,'TIS Site Config'!$A$3:$AQ$51,2,FALSE)</f>
        <v>D06</v>
      </c>
      <c r="AB1" s="104" t="str">
        <f>VLOOKUP(AB2,'TIS Site Config'!$A$3:$AQ$51,2,FALSE)</f>
        <v>D06</v>
      </c>
      <c r="AC1" s="106" t="str">
        <f>VLOOKUP(AC2,'TIS Site Config'!$A$3:$AQ$51,2,FALSE)</f>
        <v>D07</v>
      </c>
      <c r="AD1" s="102" t="str">
        <f>VLOOKUP(AD2,'TIS Site Config'!$A$3:$AQ$51,2,FALSE)</f>
        <v>D07</v>
      </c>
      <c r="AE1" s="102" t="str">
        <f>VLOOKUP(AE2,'TIS Site Config'!$A$3:$AQ$51,2,FALSE)</f>
        <v>D07</v>
      </c>
      <c r="AF1" s="103" t="str">
        <f>VLOOKUP(AF2,'TIS Site Config'!$A$3:$AQ$51,2,FALSE)</f>
        <v>D08</v>
      </c>
      <c r="AG1" s="106" t="str">
        <f>VLOOKUP(AG2,'TIS Site Config'!$A$3:$AQ$51,2,FALSE)</f>
        <v>D08</v>
      </c>
      <c r="AH1" s="104" t="str">
        <f>VLOOKUP(AH2,'TIS Site Config'!$A$3:$AQ$51,2,FALSE)</f>
        <v>D08</v>
      </c>
      <c r="AI1" s="108" t="str">
        <f>VLOOKUP(AI2,'TIS Site Config'!$A$3:$AQ$51,2,FALSE)</f>
        <v>D09</v>
      </c>
      <c r="AJ1" s="106" t="str">
        <f>VLOOKUP(AJ2,'TIS Site Config'!$A$3:$AQ$51,2,FALSE)</f>
        <v>D09</v>
      </c>
      <c r="AK1" s="104" t="str">
        <f>VLOOKUP(AK2,'TIS Site Config'!$A$3:$AQ$51,2,FALSE)</f>
        <v>D09</v>
      </c>
      <c r="AL1" s="983" t="str">
        <f>VLOOKUP(AL2,'TIS Site Config'!$A$3:$AQ$51,2,FALSE)</f>
        <v>D10</v>
      </c>
      <c r="AM1" s="985" t="str">
        <f>VLOOKUP(AM2,'TIS Site Config'!$A$3:$AQ$51,2,FALSE)</f>
        <v>D10</v>
      </c>
      <c r="AN1" s="104" t="str">
        <f>VLOOKUP(AN2,'TIS Site Config'!$A$3:$AQ$51,2,FALSE)</f>
        <v>D10</v>
      </c>
      <c r="AO1" s="108" t="str">
        <f>VLOOKUP(AO2,'TIS Site Config'!$A$3:$AQ$51,2,FALSE)</f>
        <v>D11</v>
      </c>
      <c r="AP1" s="106" t="str">
        <f>VLOOKUP(AP2,'TIS Site Config'!$A$3:$AQ$51,2,FALSE)</f>
        <v>D11</v>
      </c>
      <c r="AQ1" s="108" t="str">
        <f>VLOOKUP(AQ2,'TIS Site Config'!$A$3:$AQ$51,2,FALSE)</f>
        <v>D12</v>
      </c>
      <c r="AR1" s="108" t="str">
        <f>VLOOKUP(AR2,'TIS Site Config'!$A$3:$AQ$51,2,FALSE)</f>
        <v>D13</v>
      </c>
      <c r="AS1" s="106" t="str">
        <f>VLOOKUP(AS2,'TIS Site Config'!$A$3:$AQ$51,2,FALSE)</f>
        <v>D13</v>
      </c>
      <c r="AT1" s="108" t="str">
        <f>VLOOKUP(AT2,'TIS Site Config'!$A$3:$AQ$51,2,FALSE)</f>
        <v>D14</v>
      </c>
      <c r="AU1" s="100" t="str">
        <f>VLOOKUP(AU2,'TIS Site Config'!$A$3:$AQ$51,2,FALSE)</f>
        <v>D14</v>
      </c>
      <c r="AV1" s="108" t="str">
        <f>VLOOKUP(AV2,'TIS Site Config'!$A$3:$AQ$51,2,FALSE)</f>
        <v>D15</v>
      </c>
      <c r="AW1" s="108" t="str">
        <f>VLOOKUP(AW2,'TIS Site Config'!$A$3:$AQ$51,2,FALSE)</f>
        <v>D16</v>
      </c>
      <c r="AX1" s="104" t="str">
        <f>VLOOKUP(AX2,'TIS Site Config'!$A$3:$AQ$51,2,FALSE)</f>
        <v>D16</v>
      </c>
      <c r="AY1" s="108" t="str">
        <f>VLOOKUP(AY2,'TIS Site Config'!$A$3:$AQ$51,2,FALSE)</f>
        <v>D17</v>
      </c>
      <c r="AZ1" s="106" t="str">
        <f>VLOOKUP(AZ2,'TIS Site Config'!$A$3:$AQ$51,2,FALSE)</f>
        <v>D17</v>
      </c>
      <c r="BA1" s="102" t="str">
        <f>VLOOKUP(BA2,'TIS Site Config'!$A$3:$AQ$51,2,FALSE)</f>
        <v>D17</v>
      </c>
      <c r="BB1" s="108" t="str">
        <f>VLOOKUP(BB2,'TIS Site Config'!$A$3:$AQ$51,2,FALSE)</f>
        <v>D18</v>
      </c>
      <c r="BC1" s="104" t="str">
        <f>VLOOKUP(BC2,'TIS Site Config'!$A$3:$AQ$51,2,FALSE)</f>
        <v>D18</v>
      </c>
      <c r="BD1" s="108" t="str">
        <f>VLOOKUP(BD2,'TIS Site Config'!$A$3:$AQ$51,2,FALSE)</f>
        <v>D19</v>
      </c>
      <c r="BE1" s="106" t="str">
        <f>VLOOKUP(BE2,'TIS Site Config'!$A$3:$AQ$51,2,FALSE)</f>
        <v>D19</v>
      </c>
      <c r="BF1" s="104" t="str">
        <f>VLOOKUP(BF2,'TIS Site Config'!$A$3:$AQ$51,2,FALSE)</f>
        <v>D19</v>
      </c>
      <c r="BG1" s="1025" t="str">
        <f>VLOOKUP(BG2,'TIS Site Config'!$A$3:$AQ$51,2,FALSE)</f>
        <v>D20</v>
      </c>
      <c r="BH1" s="1071" t="str">
        <f>VLOOKUP(BH2,'TIS Site Config'!$A$3:$AQ$51,2,FALSE)</f>
        <v>D23</v>
      </c>
    </row>
    <row r="2" spans="1:67" ht="15.75" thickBot="1" x14ac:dyDescent="0.3">
      <c r="A2" s="1219"/>
      <c r="B2" s="1359"/>
      <c r="C2" s="1211"/>
      <c r="D2" s="1204"/>
      <c r="E2" s="1206"/>
      <c r="F2" s="1204"/>
      <c r="G2" s="1371"/>
      <c r="H2" s="1368"/>
      <c r="I2" s="1368"/>
      <c r="J2" s="1368"/>
      <c r="K2" s="1385"/>
      <c r="L2" s="1383"/>
      <c r="M2" s="332" t="s">
        <v>228</v>
      </c>
      <c r="N2" s="327" t="s">
        <v>206</v>
      </c>
      <c r="O2" s="331" t="s">
        <v>98</v>
      </c>
      <c r="P2" s="326" t="s">
        <v>137</v>
      </c>
      <c r="Q2" s="327" t="s">
        <v>207</v>
      </c>
      <c r="R2" s="332" t="s">
        <v>22</v>
      </c>
      <c r="S2" s="326" t="s">
        <v>132</v>
      </c>
      <c r="T2" s="327" t="s">
        <v>133</v>
      </c>
      <c r="U2" s="332" t="s">
        <v>229</v>
      </c>
      <c r="V2" s="327" t="s">
        <v>208</v>
      </c>
      <c r="W2" s="330" t="s">
        <v>230</v>
      </c>
      <c r="X2" s="326" t="s">
        <v>209</v>
      </c>
      <c r="Y2" s="327" t="s">
        <v>210</v>
      </c>
      <c r="Z2" s="332" t="s">
        <v>231</v>
      </c>
      <c r="AA2" s="326" t="s">
        <v>211</v>
      </c>
      <c r="AB2" s="327" t="s">
        <v>212</v>
      </c>
      <c r="AC2" s="326" t="s">
        <v>232</v>
      </c>
      <c r="AD2" s="329" t="s">
        <v>214</v>
      </c>
      <c r="AE2" s="329" t="s">
        <v>213</v>
      </c>
      <c r="AF2" s="328" t="s">
        <v>233</v>
      </c>
      <c r="AG2" s="326" t="s">
        <v>215</v>
      </c>
      <c r="AH2" s="327" t="s">
        <v>216</v>
      </c>
      <c r="AI2" s="332" t="s">
        <v>234</v>
      </c>
      <c r="AJ2" s="326" t="s">
        <v>217</v>
      </c>
      <c r="AK2" s="327" t="s">
        <v>218</v>
      </c>
      <c r="AL2" s="332" t="s">
        <v>21</v>
      </c>
      <c r="AM2" s="986" t="s">
        <v>20</v>
      </c>
      <c r="AN2" s="327" t="s">
        <v>219</v>
      </c>
      <c r="AO2" s="332" t="s">
        <v>235</v>
      </c>
      <c r="AP2" s="326" t="s">
        <v>220</v>
      </c>
      <c r="AQ2" s="332" t="s">
        <v>236</v>
      </c>
      <c r="AR2" s="332" t="s">
        <v>237</v>
      </c>
      <c r="AS2" s="326" t="s">
        <v>221</v>
      </c>
      <c r="AT2" s="332" t="s">
        <v>238</v>
      </c>
      <c r="AU2" s="326" t="s">
        <v>134</v>
      </c>
      <c r="AV2" s="332" t="s">
        <v>239</v>
      </c>
      <c r="AW2" s="332" t="s">
        <v>240</v>
      </c>
      <c r="AX2" s="327" t="s">
        <v>222</v>
      </c>
      <c r="AY2" s="332" t="s">
        <v>241</v>
      </c>
      <c r="AZ2" s="326" t="s">
        <v>224</v>
      </c>
      <c r="BA2" s="329" t="s">
        <v>223</v>
      </c>
      <c r="BB2" s="332" t="s">
        <v>242</v>
      </c>
      <c r="BC2" s="327" t="s">
        <v>1055</v>
      </c>
      <c r="BD2" s="332" t="s">
        <v>243</v>
      </c>
      <c r="BE2" s="326" t="s">
        <v>225</v>
      </c>
      <c r="BF2" s="327" t="s">
        <v>226</v>
      </c>
      <c r="BG2" s="1026" t="s">
        <v>1179</v>
      </c>
      <c r="BH2" s="1072" t="s">
        <v>274</v>
      </c>
    </row>
    <row r="3" spans="1:67" ht="16.5" thickTop="1" thickBot="1" x14ac:dyDescent="0.3">
      <c r="A3" s="324" t="s">
        <v>53</v>
      </c>
      <c r="B3" s="308" t="s">
        <v>149</v>
      </c>
      <c r="C3" s="325" t="s">
        <v>196</v>
      </c>
      <c r="D3" s="68">
        <v>1</v>
      </c>
      <c r="E3" s="116" t="s">
        <v>275</v>
      </c>
      <c r="F3" s="68">
        <f>SUM(M3:BG3)</f>
        <v>47</v>
      </c>
      <c r="G3" s="444"/>
      <c r="H3" s="445"/>
      <c r="I3" s="445"/>
      <c r="J3" s="445"/>
      <c r="K3" s="446"/>
      <c r="L3" s="489"/>
      <c r="M3" s="124">
        <f>1</f>
        <v>1</v>
      </c>
      <c r="N3" s="191">
        <f>1</f>
        <v>1</v>
      </c>
      <c r="O3" s="195">
        <f>1</f>
        <v>1</v>
      </c>
      <c r="P3" s="190">
        <f>1</f>
        <v>1</v>
      </c>
      <c r="Q3" s="191">
        <f>1</f>
        <v>1</v>
      </c>
      <c r="R3" s="124">
        <f>1</f>
        <v>1</v>
      </c>
      <c r="S3" s="190">
        <f>1</f>
        <v>1</v>
      </c>
      <c r="T3" s="191">
        <f>1</f>
        <v>1</v>
      </c>
      <c r="U3" s="124">
        <f>1</f>
        <v>1</v>
      </c>
      <c r="V3" s="191">
        <f>1</f>
        <v>1</v>
      </c>
      <c r="W3" s="194">
        <f>1</f>
        <v>1</v>
      </c>
      <c r="X3" s="190">
        <f>1</f>
        <v>1</v>
      </c>
      <c r="Y3" s="191">
        <f>1</f>
        <v>1</v>
      </c>
      <c r="Z3" s="124">
        <f>1</f>
        <v>1</v>
      </c>
      <c r="AA3" s="190">
        <f>1</f>
        <v>1</v>
      </c>
      <c r="AB3" s="191">
        <f>1</f>
        <v>1</v>
      </c>
      <c r="AC3" s="190">
        <f>1</f>
        <v>1</v>
      </c>
      <c r="AD3" s="192">
        <f>1</f>
        <v>1</v>
      </c>
      <c r="AE3" s="192">
        <f>1</f>
        <v>1</v>
      </c>
      <c r="AF3" s="989">
        <f>1</f>
        <v>1</v>
      </c>
      <c r="AG3" s="190">
        <f>1</f>
        <v>1</v>
      </c>
      <c r="AH3" s="191">
        <f>1</f>
        <v>1</v>
      </c>
      <c r="AI3" s="124">
        <f>1</f>
        <v>1</v>
      </c>
      <c r="AJ3" s="190">
        <f>1</f>
        <v>1</v>
      </c>
      <c r="AK3" s="191">
        <f>1</f>
        <v>1</v>
      </c>
      <c r="AL3" s="124">
        <f>1</f>
        <v>1</v>
      </c>
      <c r="AM3" s="190">
        <f>1</f>
        <v>1</v>
      </c>
      <c r="AN3" s="191">
        <f>1</f>
        <v>1</v>
      </c>
      <c r="AO3" s="124">
        <f>1</f>
        <v>1</v>
      </c>
      <c r="AP3" s="190">
        <f>1</f>
        <v>1</v>
      </c>
      <c r="AQ3" s="124">
        <f>1</f>
        <v>1</v>
      </c>
      <c r="AR3" s="124">
        <f>1</f>
        <v>1</v>
      </c>
      <c r="AS3" s="190">
        <f>1</f>
        <v>1</v>
      </c>
      <c r="AT3" s="124">
        <f>1</f>
        <v>1</v>
      </c>
      <c r="AU3" s="190">
        <f>1</f>
        <v>1</v>
      </c>
      <c r="AV3" s="124">
        <f>1</f>
        <v>1</v>
      </c>
      <c r="AW3" s="124">
        <f>1</f>
        <v>1</v>
      </c>
      <c r="AX3" s="191">
        <f>1</f>
        <v>1</v>
      </c>
      <c r="AY3" s="124">
        <f>1</f>
        <v>1</v>
      </c>
      <c r="AZ3" s="190">
        <f>1</f>
        <v>1</v>
      </c>
      <c r="BA3" s="192">
        <f>1</f>
        <v>1</v>
      </c>
      <c r="BB3" s="124">
        <f>1</f>
        <v>1</v>
      </c>
      <c r="BC3" s="191">
        <f>1</f>
        <v>1</v>
      </c>
      <c r="BD3" s="124">
        <f>1</f>
        <v>1</v>
      </c>
      <c r="BE3" s="190">
        <f>1</f>
        <v>1</v>
      </c>
      <c r="BF3" s="191">
        <f>1</f>
        <v>1</v>
      </c>
      <c r="BG3" s="193">
        <f>1</f>
        <v>1</v>
      </c>
      <c r="BH3" s="193"/>
      <c r="BI3" s="3" t="s">
        <v>966</v>
      </c>
      <c r="BK3" s="3">
        <v>60</v>
      </c>
      <c r="BL3" s="3" t="b">
        <f t="shared" ref="BL3:BL33" si="0">F3=BK3</f>
        <v>0</v>
      </c>
    </row>
    <row r="4" spans="1:67" ht="15.75" thickTop="1" x14ac:dyDescent="0.25">
      <c r="A4" s="1365" t="s">
        <v>49</v>
      </c>
      <c r="B4" s="1360" t="s">
        <v>176</v>
      </c>
      <c r="C4" s="64" t="s">
        <v>180</v>
      </c>
      <c r="D4" s="65">
        <v>1</v>
      </c>
      <c r="E4" s="111" t="s">
        <v>283</v>
      </c>
      <c r="F4" s="65">
        <f t="shared" ref="F4:F63" si="1">SUM(M4:BG4)</f>
        <v>3</v>
      </c>
      <c r="G4" s="447"/>
      <c r="H4" s="448"/>
      <c r="I4" s="448"/>
      <c r="J4" s="448"/>
      <c r="K4" s="449"/>
      <c r="L4" s="490"/>
      <c r="M4" s="129">
        <f>IF(VLOOKUP(M$2,'TIS Site Config'!$A$4:$AQ$51,3,FALSE)&lt;&gt;"Soft",
          IF(AND(VLOOKUP(M$2,'TIS Site Config'!$A$3:$AQ$51,6,FALSE)="Non-heated",
                        AND(VLOOKUP(M$2,'TIS Site Config'!$A$3:$AQ$51,19,FALSE)&lt;&gt;2,
                                VLOOKUP(M$2,'TIS Site Config'!$A$3:$AQ$51,20,FALSE)&lt;&gt;2)
                      ),
                              1,0),0)</f>
        <v>0</v>
      </c>
      <c r="N4" s="292">
        <f>IF(VLOOKUP(N$2,'TIS Site Config'!$A$4:$AQ$51,3,FALSE)&lt;&gt;"Soft",
          IF(AND(VLOOKUP(N$2,'TIS Site Config'!$A$3:$AQ$51,6,FALSE)="Non-heated",
                        AND(VLOOKUP(N$2,'TIS Site Config'!$A$3:$AQ$51,19,FALSE)&lt;&gt;2,
                                VLOOKUP(N$2,'TIS Site Config'!$A$3:$AQ$51,20,FALSE)&lt;&gt;2)
                      ),
                              1,0),0)</f>
        <v>0</v>
      </c>
      <c r="O4" s="296">
        <f>IF(VLOOKUP(O$2,'TIS Site Config'!$A$4:$AQ$51,3,FALSE)&lt;&gt;"Soft",
          IF(AND(VLOOKUP(O$2,'TIS Site Config'!$A$3:$AQ$51,6,FALSE)="Non-heated",
                        AND(VLOOKUP(O$2,'TIS Site Config'!$A$3:$AQ$51,19,FALSE)&lt;&gt;2,
                                VLOOKUP(O$2,'TIS Site Config'!$A$3:$AQ$51,20,FALSE)&lt;&gt;2)
                      ),
                              1,0),0)</f>
        <v>0</v>
      </c>
      <c r="P4" s="291">
        <f>IF(VLOOKUP(P$2,'TIS Site Config'!$A$4:$AQ$51,3,FALSE)&lt;&gt;"Soft",
          IF(AND(VLOOKUP(P$2,'TIS Site Config'!$A$3:$AQ$51,6,FALSE)="Non-heated",
                        AND(VLOOKUP(P$2,'TIS Site Config'!$A$3:$AQ$51,19,FALSE)&lt;&gt;2,
                                VLOOKUP(P$2,'TIS Site Config'!$A$3:$AQ$51,20,FALSE)&lt;&gt;2)
                      ),
                              1,0),0)</f>
        <v>0</v>
      </c>
      <c r="Q4" s="292">
        <f>IF(VLOOKUP(Q$2,'TIS Site Config'!$A$4:$AQ$51,3,FALSE)&lt;&gt;"Soft",
          IF(AND(VLOOKUP(Q$2,'TIS Site Config'!$A$3:$AQ$51,6,FALSE)="Non-heated",
                        AND(VLOOKUP(Q$2,'TIS Site Config'!$A$3:$AQ$51,19,FALSE)&lt;&gt;2,
                                VLOOKUP(Q$2,'TIS Site Config'!$A$3:$AQ$51,20,FALSE)&lt;&gt;2)
                      ),
                              1,0),0)</f>
        <v>0</v>
      </c>
      <c r="R4" s="290">
        <f>IF(VLOOKUP(R$2,'TIS Site Config'!$A$4:$AQ$51,3,FALSE)&lt;&gt;"Soft",
          IF(AND(VLOOKUP(R$2,'TIS Site Config'!$A$3:$AQ$51,6,FALSE)="Non-heated",
                        AND(VLOOKUP(R$2,'TIS Site Config'!$A$3:$AQ$51,19,FALSE)&lt;&gt;2,
                                VLOOKUP(R$2,'TIS Site Config'!$A$3:$AQ$51,20,FALSE)&lt;&gt;2)
                      ),
                              1,0),0)</f>
        <v>1</v>
      </c>
      <c r="S4" s="291">
        <f>IF(VLOOKUP(S$2,'TIS Site Config'!$A$4:$AQ$51,3,FALSE)&lt;&gt;"Soft",
          IF(AND(VLOOKUP(S$2,'TIS Site Config'!$A$3:$AQ$51,6,FALSE)="Non-heated",
                        AND(VLOOKUP(S$2,'TIS Site Config'!$A$3:$AQ$51,19,FALSE)&lt;&gt;2,
                                VLOOKUP(S$2,'TIS Site Config'!$A$3:$AQ$51,20,FALSE)&lt;&gt;2)
                      ),
                              1,0),0)</f>
        <v>0</v>
      </c>
      <c r="T4" s="292">
        <f>IF(VLOOKUP(T$2,'TIS Site Config'!$A$4:$AQ$51,3,FALSE)&lt;&gt;"Soft",
          IF(AND(VLOOKUP(T$2,'TIS Site Config'!$A$3:$AQ$51,6,FALSE)="Non-heated",
                        AND(VLOOKUP(T$2,'TIS Site Config'!$A$3:$AQ$51,19,FALSE)&lt;&gt;2,
                                VLOOKUP(T$2,'TIS Site Config'!$A$3:$AQ$51,20,FALSE)&lt;&gt;2)
                      ),
                              1,0),0)</f>
        <v>0</v>
      </c>
      <c r="U4" s="290">
        <f>IF(VLOOKUP(U$2,'TIS Site Config'!$A$4:$AQ$51,3,FALSE)&lt;&gt;"Soft",
          IF(AND(VLOOKUP(U$2,'TIS Site Config'!$A$3:$AQ$51,6,FALSE)="Non-heated",
                        AND(VLOOKUP(U$2,'TIS Site Config'!$A$3:$AQ$51,19,FALSE)&lt;&gt;2,
                                VLOOKUP(U$2,'TIS Site Config'!$A$3:$AQ$51,20,FALSE)&lt;&gt;2)
                      ),
                              1,0),0)</f>
        <v>0</v>
      </c>
      <c r="V4" s="292">
        <f>IF(VLOOKUP(V$2,'TIS Site Config'!$A$4:$AQ$51,3,FALSE)&lt;&gt;"Soft",
          IF(AND(VLOOKUP(V$2,'TIS Site Config'!$A$3:$AQ$51,6,FALSE)="Non-heated",
                        AND(VLOOKUP(V$2,'TIS Site Config'!$A$3:$AQ$51,19,FALSE)&lt;&gt;2,
                                VLOOKUP(V$2,'TIS Site Config'!$A$3:$AQ$51,20,FALSE)&lt;&gt;2)
                      ),
                              1,0),0)</f>
        <v>0</v>
      </c>
      <c r="W4" s="294">
        <f>IF(VLOOKUP(W$2,'TIS Site Config'!$A$4:$AQ$51,3,FALSE)&lt;&gt;"Soft",
          IF(AND(VLOOKUP(W$2,'TIS Site Config'!$A$3:$AQ$51,6,FALSE)="Non-heated",
                        AND(VLOOKUP(W$2,'TIS Site Config'!$A$3:$AQ$51,19,FALSE)&lt;&gt;2,
                                VLOOKUP(W$2,'TIS Site Config'!$A$3:$AQ$51,20,FALSE)&lt;&gt;2)
                      ),
                              1,0),0)</f>
        <v>0</v>
      </c>
      <c r="X4" s="178">
        <f>IF(VLOOKUP(X$2,'TIS Site Config'!$A$4:$AQ$51,3,FALSE)&lt;&gt;"Soft",
          IF(AND(VLOOKUP(X$2,'TIS Site Config'!$A$3:$AQ$51,6,FALSE)="Non-heated",
                        AND(VLOOKUP(X$2,'TIS Site Config'!$A$3:$AQ$51,19,FALSE)&lt;&gt;2,
                                VLOOKUP(X$2,'TIS Site Config'!$A$3:$AQ$51,20,FALSE)&lt;&gt;2)
                      ),
                              1,0),0)</f>
        <v>0</v>
      </c>
      <c r="Y4" s="295">
        <f>IF(VLOOKUP(Y$2,'TIS Site Config'!$A$4:$AQ$51,3,FALSE)&lt;&gt;"Soft",
          IF(AND(VLOOKUP(Y$2,'TIS Site Config'!$A$3:$AQ$51,6,FALSE)="Non-heated",
                        AND(VLOOKUP(Y$2,'TIS Site Config'!$A$3:$AQ$51,19,FALSE)&lt;&gt;2,
                                VLOOKUP(Y$2,'TIS Site Config'!$A$3:$AQ$51,20,FALSE)&lt;&gt;2)
                      ),
                              1,0),0)</f>
        <v>0</v>
      </c>
      <c r="Z4" s="290">
        <f>IF(VLOOKUP(Z$2,'TIS Site Config'!$A$4:$AQ$51,3,FALSE)&lt;&gt;"Soft",
          IF(AND(VLOOKUP(Z$2,'TIS Site Config'!$A$3:$AQ$51,6,FALSE)="Non-heated",
                        AND(VLOOKUP(Z$2,'TIS Site Config'!$A$3:$AQ$51,19,FALSE)&lt;&gt;2,
                                VLOOKUP(Z$2,'TIS Site Config'!$A$3:$AQ$51,20,FALSE)&lt;&gt;2)
                      ),
                              1,0),0)</f>
        <v>0</v>
      </c>
      <c r="AA4" s="291">
        <f>IF(VLOOKUP(AA$2,'TIS Site Config'!$A$4:$AQ$51,3,FALSE)&lt;&gt;"Soft",
          IF(AND(VLOOKUP(AA$2,'TIS Site Config'!$A$3:$AQ$51,6,FALSE)="Non-heated",
                        AND(VLOOKUP(AA$2,'TIS Site Config'!$A$3:$AQ$51,19,FALSE)&lt;&gt;2,
                                VLOOKUP(AA$2,'TIS Site Config'!$A$3:$AQ$51,20,FALSE)&lt;&gt;2)
                      ),
                              1,0),0)</f>
        <v>0</v>
      </c>
      <c r="AB4" s="292">
        <f>IF(VLOOKUP(AB$2,'TIS Site Config'!$A$4:$AQ$51,3,FALSE)&lt;&gt;"Soft",
          IF(AND(VLOOKUP(AB$2,'TIS Site Config'!$A$3:$AQ$51,6,FALSE)="Non-heated",
                        AND(VLOOKUP(AB$2,'TIS Site Config'!$A$3:$AQ$51,19,FALSE)&lt;&gt;2,
                                VLOOKUP(AB$2,'TIS Site Config'!$A$3:$AQ$51,20,FALSE)&lt;&gt;2)
                      ),
                              1,0),0)</f>
        <v>0</v>
      </c>
      <c r="AC4" s="291">
        <f>IF(VLOOKUP(AC$2,'TIS Site Config'!$A$4:$AQ$51,3,FALSE)&lt;&gt;"Soft",
          IF(AND(VLOOKUP(AC$2,'TIS Site Config'!$A$3:$AQ$51,6,FALSE)="Non-heated",
                        AND(VLOOKUP(AC$2,'TIS Site Config'!$A$3:$AQ$51,19,FALSE)&lt;&gt;2,
                                VLOOKUP(AC$2,'TIS Site Config'!$A$3:$AQ$51,20,FALSE)&lt;&gt;2)
                      ),
                              1,0),0)</f>
        <v>0</v>
      </c>
      <c r="AD4" s="293">
        <f>IF(VLOOKUP(AD$2,'TIS Site Config'!$A$4:$AQ$51,3,FALSE)&lt;&gt;"Soft",
          IF(AND(VLOOKUP(AD$2,'TIS Site Config'!$A$3:$AQ$51,6,FALSE)="Non-heated",
                        AND(VLOOKUP(AD$2,'TIS Site Config'!$A$3:$AQ$51,19,FALSE)&lt;&gt;2,
                                VLOOKUP(AD$2,'TIS Site Config'!$A$3:$AQ$51,20,FALSE)&lt;&gt;2)
                      ),
                              1,0),0)</f>
        <v>0</v>
      </c>
      <c r="AE4" s="293">
        <f>IF(VLOOKUP(AE$2,'TIS Site Config'!$A$4:$AQ$51,3,FALSE)&lt;&gt;"Soft",
          IF(AND(VLOOKUP(AE$2,'TIS Site Config'!$A$3:$AQ$51,6,FALSE)="Non-heated",
                        AND(VLOOKUP(AE$2,'TIS Site Config'!$A$3:$AQ$51,19,FALSE)&lt;&gt;2,
                                VLOOKUP(AE$2,'TIS Site Config'!$A$3:$AQ$51,20,FALSE)&lt;&gt;2)
                      ),
                              1,0),0)</f>
        <v>0</v>
      </c>
      <c r="AF4" s="990">
        <f>IF(VLOOKUP(AF$2,'TIS Site Config'!$A$4:$AQ$51,3,FALSE)&lt;&gt;"Soft",
          IF(AND(VLOOKUP(AF$2,'TIS Site Config'!$A$3:$AQ$51,6,FALSE)="Non-heated",
                        AND(VLOOKUP(AF$2,'TIS Site Config'!$A$3:$AQ$51,19,FALSE)&lt;&gt;2,
                                VLOOKUP(AF$2,'TIS Site Config'!$A$3:$AQ$51,20,FALSE)&lt;&gt;2)
                      ),
                              1,0),0)</f>
        <v>1</v>
      </c>
      <c r="AG4" s="291">
        <f>IF(VLOOKUP(AG$2,'TIS Site Config'!$A$4:$AQ$51,3,FALSE)&lt;&gt;"Soft",
          IF(AND(VLOOKUP(AG$2,'TIS Site Config'!$A$3:$AQ$51,6,FALSE)="Non-heated",
                        AND(VLOOKUP(AG$2,'TIS Site Config'!$A$3:$AQ$51,19,FALSE)&lt;&gt;2,
                                VLOOKUP(AG$2,'TIS Site Config'!$A$3:$AQ$51,20,FALSE)&lt;&gt;2)
                      ),
                              1,0),0)</f>
        <v>0</v>
      </c>
      <c r="AH4" s="295">
        <f>IF(VLOOKUP(AH$2,'TIS Site Config'!$A$4:$AQ$51,3,FALSE)&lt;&gt;"Soft",
          IF(AND(VLOOKUP(AH$2,'TIS Site Config'!$A$3:$AQ$51,6,FALSE)="Non-heated",
                        AND(VLOOKUP(AH$2,'TIS Site Config'!$A$3:$AQ$51,19,FALSE)&lt;&gt;2,
                                VLOOKUP(AH$2,'TIS Site Config'!$A$3:$AQ$51,20,FALSE)&lt;&gt;2)
                      ),
                              1,0),0)</f>
        <v>1</v>
      </c>
      <c r="AI4" s="290">
        <f>IF(VLOOKUP(AI$2,'TIS Site Config'!$A$4:$AQ$51,3,FALSE)&lt;&gt;"Soft",
          IF(AND(VLOOKUP(AI$2,'TIS Site Config'!$A$3:$AQ$51,6,FALSE)="Non-heated",
                        AND(VLOOKUP(AI$2,'TIS Site Config'!$A$3:$AQ$51,19,FALSE)&lt;&gt;2,
                                VLOOKUP(AI$2,'TIS Site Config'!$A$3:$AQ$51,20,FALSE)&lt;&gt;2)
                      ),
                              1,0),0)</f>
        <v>0</v>
      </c>
      <c r="AJ4" s="291">
        <f>IF(VLOOKUP(AJ$2,'TIS Site Config'!$A$4:$AQ$51,3,FALSE)&lt;&gt;"Soft",
          IF(AND(VLOOKUP(AJ$2,'TIS Site Config'!$A$3:$AQ$51,6,FALSE)="Non-heated",
                        AND(VLOOKUP(AJ$2,'TIS Site Config'!$A$3:$AQ$51,19,FALSE)&lt;&gt;2,
                                VLOOKUP(AJ$2,'TIS Site Config'!$A$3:$AQ$51,20,FALSE)&lt;&gt;2)
                      ),
                              1,0),0)</f>
        <v>0</v>
      </c>
      <c r="AK4" s="292">
        <f>IF(VLOOKUP(AK$2,'TIS Site Config'!$A$4:$AQ$51,3,FALSE)&lt;&gt;"Soft",
          IF(AND(VLOOKUP(AK$2,'TIS Site Config'!$A$3:$AQ$51,6,FALSE)="Non-heated",
                        AND(VLOOKUP(AK$2,'TIS Site Config'!$A$3:$AQ$51,19,FALSE)&lt;&gt;2,
                                VLOOKUP(AK$2,'TIS Site Config'!$A$3:$AQ$51,20,FALSE)&lt;&gt;2)
                      ),
                              1,0),0)</f>
        <v>0</v>
      </c>
      <c r="AL4" s="290">
        <f>IF(VLOOKUP(AL$2,'TIS Site Config'!$A$4:$AQ$51,3,FALSE)&lt;&gt;"Soft",
          IF(AND(VLOOKUP(AL$2,'TIS Site Config'!$A$3:$AQ$51,6,FALSE)="Non-heated",
                        AND(VLOOKUP(AL$2,'TIS Site Config'!$A$3:$AQ$51,19,FALSE)&lt;&gt;2,
                                VLOOKUP(AL$2,'TIS Site Config'!$A$3:$AQ$51,20,FALSE)&lt;&gt;2)
                      ),
                              1,0),0)</f>
        <v>0</v>
      </c>
      <c r="AM4" s="291">
        <f>IF(VLOOKUP(AM$2,'TIS Site Config'!$A$4:$AQ$51,3,FALSE)&lt;&gt;"Soft",
          IF(AND(VLOOKUP(AM$2,'TIS Site Config'!$A$3:$AQ$51,6,FALSE)="Non-heated",
                        AND(VLOOKUP(AM$2,'TIS Site Config'!$A$3:$AQ$51,19,FALSE)&lt;&gt;2,
                                VLOOKUP(AM$2,'TIS Site Config'!$A$3:$AQ$51,20,FALSE)&lt;&gt;2)
                      ),
                              1,0),0)</f>
        <v>0</v>
      </c>
      <c r="AN4" s="292">
        <f>IF(VLOOKUP(AN$2,'TIS Site Config'!$A$4:$AQ$51,3,FALSE)&lt;&gt;"Soft",
          IF(AND(VLOOKUP(AN$2,'TIS Site Config'!$A$3:$AQ$51,6,FALSE)="Non-heated",
                        AND(VLOOKUP(AN$2,'TIS Site Config'!$A$3:$AQ$51,19,FALSE)&lt;&gt;2,
                                VLOOKUP(AN$2,'TIS Site Config'!$A$3:$AQ$51,20,FALSE)&lt;&gt;2)
                      ),
                              1,0),0)</f>
        <v>0</v>
      </c>
      <c r="AO4" s="290">
        <f>IF(VLOOKUP(AO$2,'TIS Site Config'!$A$4:$AQ$51,3,FALSE)&lt;&gt;"Soft",
          IF(AND(VLOOKUP(AO$2,'TIS Site Config'!$A$3:$AQ$51,6,FALSE)="Non-heated",
                        AND(VLOOKUP(AO$2,'TIS Site Config'!$A$3:$AQ$51,19,FALSE)&lt;&gt;2,
                                VLOOKUP(AO$2,'TIS Site Config'!$A$3:$AQ$51,20,FALSE)&lt;&gt;2)
                      ),
                              1,0),0)</f>
        <v>0</v>
      </c>
      <c r="AP4" s="291">
        <f>IF(VLOOKUP(AP$2,'TIS Site Config'!$A$4:$AQ$51,3,FALSE)&lt;&gt;"Soft",
          IF(AND(VLOOKUP(AP$2,'TIS Site Config'!$A$3:$AQ$51,6,FALSE)="Non-heated",
                        AND(VLOOKUP(AP$2,'TIS Site Config'!$A$3:$AQ$51,19,FALSE)&lt;&gt;2,
                                VLOOKUP(AP$2,'TIS Site Config'!$A$3:$AQ$51,20,FALSE)&lt;&gt;2)
                      ),
                              1,0),0)</f>
        <v>0</v>
      </c>
      <c r="AQ4" s="129">
        <f>IF(VLOOKUP(AQ$2,'TIS Site Config'!$A$4:$AQ$51,3,FALSE)&lt;&gt;"Soft",
          IF(AND(VLOOKUP(AQ$2,'TIS Site Config'!$A$3:$AQ$51,6,FALSE)="Non-heated",
                        AND(VLOOKUP(AQ$2,'TIS Site Config'!$A$3:$AQ$51,19,FALSE)&lt;&gt;2,
                                VLOOKUP(AQ$2,'TIS Site Config'!$A$3:$AQ$51,20,FALSE)&lt;&gt;2)
                      ),
                              1,0),0)</f>
        <v>0</v>
      </c>
      <c r="AR4" s="290">
        <f>IF(VLOOKUP(AR$2,'TIS Site Config'!$A$4:$AQ$51,3,FALSE)&lt;&gt;"Soft",
          IF(AND(VLOOKUP(AR$2,'TIS Site Config'!$A$3:$AQ$51,6,FALSE)="Non-heated",
                        AND(VLOOKUP(AR$2,'TIS Site Config'!$A$3:$AQ$51,19,FALSE)&lt;&gt;2,
                                VLOOKUP(AR$2,'TIS Site Config'!$A$3:$AQ$51,20,FALSE)&lt;&gt;2)
                      ),
                              1,0),0)</f>
        <v>0</v>
      </c>
      <c r="AS4" s="291">
        <f>IF(VLOOKUP(AS$2,'TIS Site Config'!$A$4:$AQ$51,3,FALSE)&lt;&gt;"Soft",
          IF(AND(VLOOKUP(AS$2,'TIS Site Config'!$A$3:$AQ$51,6,FALSE)="Non-heated",
                        AND(VLOOKUP(AS$2,'TIS Site Config'!$A$3:$AQ$51,19,FALSE)&lt;&gt;2,
                                VLOOKUP(AS$2,'TIS Site Config'!$A$3:$AQ$51,20,FALSE)&lt;&gt;2)
                      ),
                              1,0),0)</f>
        <v>0</v>
      </c>
      <c r="AT4" s="290">
        <f>IF(VLOOKUP(AT$2,'TIS Site Config'!$A$4:$AQ$51,3,FALSE)&lt;&gt;"Soft",
          IF(AND(VLOOKUP(AT$2,'TIS Site Config'!$A$3:$AQ$51,6,FALSE)="Non-heated",
                        AND(VLOOKUP(AT$2,'TIS Site Config'!$A$3:$AQ$51,19,FALSE)&lt;&gt;2,
                                VLOOKUP(AT$2,'TIS Site Config'!$A$3:$AQ$51,20,FALSE)&lt;&gt;2)
                      ),
                              1,0),0)</f>
        <v>0</v>
      </c>
      <c r="AU4" s="291">
        <f>IF(VLOOKUP(AU$2,'TIS Site Config'!$A$4:$AQ$51,3,FALSE)&lt;&gt;"Soft",
          IF(AND(VLOOKUP(AU$2,'TIS Site Config'!$A$3:$AQ$51,6,FALSE)="Non-heated",
                        AND(VLOOKUP(AU$2,'TIS Site Config'!$A$3:$AQ$51,19,FALSE)&lt;&gt;2,
                                VLOOKUP(AU$2,'TIS Site Config'!$A$3:$AQ$51,20,FALSE)&lt;&gt;2)
                      ),
                              1,0),0)</f>
        <v>0</v>
      </c>
      <c r="AV4" s="290">
        <f>IF(VLOOKUP(AV$2,'TIS Site Config'!$A$4:$AQ$51,3,FALSE)&lt;&gt;"Soft",
          IF(AND(VLOOKUP(AV$2,'TIS Site Config'!$A$3:$AQ$51,6,FALSE)="Non-heated",
                        AND(VLOOKUP(AV$2,'TIS Site Config'!$A$3:$AQ$51,19,FALSE)&lt;&gt;2,
                                VLOOKUP(AV$2,'TIS Site Config'!$A$3:$AQ$51,20,FALSE)&lt;&gt;2)
                      ),
                              1,0),0)</f>
        <v>0</v>
      </c>
      <c r="AW4" s="129">
        <f>IF(VLOOKUP(AW$2,'TIS Site Config'!$A$4:$AQ$51,3,FALSE)&lt;&gt;"Soft",
          IF(AND(VLOOKUP(AW$2,'TIS Site Config'!$A$3:$AQ$51,6,FALSE)="Non-heated",
                        AND(VLOOKUP(AW$2,'TIS Site Config'!$A$3:$AQ$51,19,FALSE)&lt;&gt;2,
                                VLOOKUP(AW$2,'TIS Site Config'!$A$3:$AQ$51,20,FALSE)&lt;&gt;2)
                      ),
                              1,0),0)</f>
        <v>0</v>
      </c>
      <c r="AX4" s="292">
        <f>IF(VLOOKUP(AX$2,'TIS Site Config'!$A$4:$AQ$51,3,FALSE)&lt;&gt;"Soft",
          IF(AND(VLOOKUP(AX$2,'TIS Site Config'!$A$3:$AQ$51,6,FALSE)="Non-heated",
                        AND(VLOOKUP(AX$2,'TIS Site Config'!$A$3:$AQ$51,19,FALSE)&lt;&gt;2,
                                VLOOKUP(AX$2,'TIS Site Config'!$A$3:$AQ$51,20,FALSE)&lt;&gt;2)
                      ),
                              1,0),0)</f>
        <v>0</v>
      </c>
      <c r="AY4" s="290">
        <f>IF(VLOOKUP(AY$2,'TIS Site Config'!$A$4:$AQ$51,3,FALSE)&lt;&gt;"Soft",
          IF(AND(VLOOKUP(AY$2,'TIS Site Config'!$A$3:$AQ$51,6,FALSE)="Non-heated",
                        AND(VLOOKUP(AY$2,'TIS Site Config'!$A$3:$AQ$51,19,FALSE)&lt;&gt;2,
                                VLOOKUP(AY$2,'TIS Site Config'!$A$3:$AQ$51,20,FALSE)&lt;&gt;2)
                      ),
                              1,0),0)</f>
        <v>0</v>
      </c>
      <c r="AZ4" s="291">
        <f>IF(VLOOKUP(AZ$2,'TIS Site Config'!$A$4:$AQ$51,3,FALSE)&lt;&gt;"Soft",
          IF(AND(VLOOKUP(AZ$2,'TIS Site Config'!$A$3:$AQ$51,6,FALSE)="Non-heated",
                        AND(VLOOKUP(AZ$2,'TIS Site Config'!$A$3:$AQ$51,19,FALSE)&lt;&gt;2,
                                VLOOKUP(AZ$2,'TIS Site Config'!$A$3:$AQ$51,20,FALSE)&lt;&gt;2)
                      ),
                              1,0),0)</f>
        <v>0</v>
      </c>
      <c r="BA4" s="293">
        <f>IF(VLOOKUP(BA$2,'TIS Site Config'!$A$4:$AQ$51,3,FALSE)&lt;&gt;"Soft",
          IF(AND(VLOOKUP(BA$2,'TIS Site Config'!$A$3:$AQ$51,6,FALSE)="Non-heated",
                        AND(VLOOKUP(BA$2,'TIS Site Config'!$A$3:$AQ$51,19,FALSE)&lt;&gt;2,
                                VLOOKUP(BA$2,'TIS Site Config'!$A$3:$AQ$51,20,FALSE)&lt;&gt;2)
                      ),
                              1,0),0)</f>
        <v>0</v>
      </c>
      <c r="BB4" s="290">
        <f>IF(VLOOKUP(BB$2,'TIS Site Config'!$A$4:$AQ$51,3,FALSE)&lt;&gt;"Soft",
          IF(AND(VLOOKUP(BB$2,'TIS Site Config'!$A$3:$AQ$51,6,FALSE)="Non-heated",
                        AND(VLOOKUP(BB$2,'TIS Site Config'!$A$3:$AQ$51,19,FALSE)&lt;&gt;2,
                                VLOOKUP(BB$2,'TIS Site Config'!$A$3:$AQ$51,20,FALSE)&lt;&gt;2)
                      ),
                              1,0),0)</f>
        <v>0</v>
      </c>
      <c r="BC4" s="292">
        <f>IF(VLOOKUP(BC$2,'TIS Site Config'!$A$4:$AQ$51,3,FALSE)&lt;&gt;"Soft",
          IF(AND(VLOOKUP(BC$2,'TIS Site Config'!$A$3:$AQ$51,6,FALSE)="Non-heated",
                        AND(VLOOKUP(BC$2,'TIS Site Config'!$A$3:$AQ$51,19,FALSE)&lt;&gt;2,
                                VLOOKUP(BC$2,'TIS Site Config'!$A$3:$AQ$51,20,FALSE)&lt;&gt;2)
                      ),
                              1,0),0)</f>
        <v>0</v>
      </c>
      <c r="BD4" s="290">
        <f>IF(VLOOKUP(BD$2,'TIS Site Config'!$A$4:$AQ$51,3,FALSE)&lt;&gt;"Soft",
          IF(AND(VLOOKUP(BD$2,'TIS Site Config'!$A$3:$AQ$51,6,FALSE)="Non-heated",
                        AND(VLOOKUP(BD$2,'TIS Site Config'!$A$3:$AQ$51,19,FALSE)&lt;&gt;2,
                                VLOOKUP(BD$2,'TIS Site Config'!$A$3:$AQ$51,20,FALSE)&lt;&gt;2)
                      ),
                              1,0),0)</f>
        <v>0</v>
      </c>
      <c r="BE4" s="291">
        <f>IF(VLOOKUP(BE$2,'TIS Site Config'!$A$4:$AQ$51,3,FALSE)&lt;&gt;"Soft",
          IF(AND(VLOOKUP(BE$2,'TIS Site Config'!$A$3:$AQ$51,6,FALSE)="Non-heated",
                        AND(VLOOKUP(BE$2,'TIS Site Config'!$A$3:$AQ$51,19,FALSE)&lt;&gt;2,
                                VLOOKUP(BE$2,'TIS Site Config'!$A$3:$AQ$51,20,FALSE)&lt;&gt;2)
                      ),
                              1,0),0)</f>
        <v>0</v>
      </c>
      <c r="BF4" s="292">
        <f>IF(VLOOKUP(BF$2,'TIS Site Config'!$A$4:$AQ$51,3,FALSE)&lt;&gt;"Soft",
          IF(AND(VLOOKUP(BF$2,'TIS Site Config'!$A$3:$AQ$51,6,FALSE)="Non-heated",
                        AND(VLOOKUP(BF$2,'TIS Site Config'!$A$3:$AQ$51,19,FALSE)&lt;&gt;2,
                                VLOOKUP(BF$2,'TIS Site Config'!$A$3:$AQ$51,20,FALSE)&lt;&gt;2)
                      ),
                              1,0),0)</f>
        <v>0</v>
      </c>
      <c r="BG4" s="181">
        <f>IF(VLOOKUP(BG$2,'TIS Site Config'!$A$4:$AQ$51,3,FALSE)&lt;&gt;"Soft",
          IF(AND(VLOOKUP(BG$2,'TIS Site Config'!$A$3:$AQ$51,6,FALSE)="Non-heated",
                        AND(VLOOKUP(BG$2,'TIS Site Config'!$A$3:$AQ$51,19,FALSE)&lt;&gt;2,
                                VLOOKUP(BG$2,'TIS Site Config'!$A$3:$AQ$51,20,FALSE)&lt;&gt;2)
                      ),
                              1,0),0)</f>
        <v>0</v>
      </c>
      <c r="BH4" s="1073">
        <f>IF(VLOOKUP(BH$2,'TIS Site Config'!$A$4:$AQ$51,3,FALSE)&lt;&gt;"Soft",
          IF(AND(VLOOKUP(BH$2,'TIS Site Config'!$A$3:$AQ$51,6,FALSE)="Non-heated",
                        AND(VLOOKUP(BH$2,'TIS Site Config'!$A$3:$AQ$51,19,FALSE)&lt;&gt;2,
                                VLOOKUP(BH$2,'TIS Site Config'!$A$3:$AQ$51,20,FALSE)&lt;&gt;2)
                      ),
                              1,0),0)</f>
        <v>0</v>
      </c>
      <c r="BK4" s="3">
        <v>4</v>
      </c>
      <c r="BL4" s="950" t="b">
        <f t="shared" si="0"/>
        <v>0</v>
      </c>
      <c r="BO4" s="950"/>
    </row>
    <row r="5" spans="1:67" x14ac:dyDescent="0.25">
      <c r="A5" s="1366"/>
      <c r="B5" s="1361"/>
      <c r="C5" s="61" t="s">
        <v>179</v>
      </c>
      <c r="D5" s="62">
        <v>1</v>
      </c>
      <c r="E5" s="85" t="s">
        <v>284</v>
      </c>
      <c r="F5" s="62">
        <f t="shared" si="1"/>
        <v>7</v>
      </c>
      <c r="G5" s="450">
        <v>1</v>
      </c>
      <c r="H5" s="451"/>
      <c r="I5" s="451"/>
      <c r="J5" s="451"/>
      <c r="K5" s="452"/>
      <c r="L5" s="491"/>
      <c r="M5" s="131">
        <f>IF(VLOOKUP(M$2,'TIS Site Config'!$A$4:$AQ$51,3,FALSE)&lt;&gt;"Soft",
          IF(
             AND(OR(VLOOKUP(M$2,'TIS Site Config'!$A$3:$AQ$51,6,FALSE)="Heated",
                                VLOOKUP(M$2,'TIS Site Config'!$A$3:$AQ$51,6,FALSE)="Extreme Heated"),
                        AND(VLOOKUP(M$2,'TIS Site Config'!$A$3:$AQ$51,19,FALSE)&lt;&gt;2,
                                VLOOKUP(M$2,'TIS Site Config'!$A$3:$AQ$51,20,FALSE)&lt;&gt;2)),
                              1,0),0)</f>
        <v>0</v>
      </c>
      <c r="N5" s="162">
        <f>IF(VLOOKUP(N$2,'TIS Site Config'!$A$4:$AQ$51,3,FALSE)&lt;&gt;"Soft",
          IF(
             AND(OR(VLOOKUP(N$2,'TIS Site Config'!$A$3:$AQ$51,6,FALSE)="Heated",
                                VLOOKUP(N$2,'TIS Site Config'!$A$3:$AQ$51,6,FALSE)="Extreme Heated"),
                        AND(VLOOKUP(N$2,'TIS Site Config'!$A$3:$AQ$51,19,FALSE)&lt;&gt;2,
                                VLOOKUP(N$2,'TIS Site Config'!$A$3:$AQ$51,20,FALSE)&lt;&gt;2)),
                              1,0),0)</f>
        <v>1</v>
      </c>
      <c r="O5" s="980">
        <f>IF(VLOOKUP(O$2,'TIS Site Config'!$A$4:$AQ$51,3,FALSE)&lt;&gt;"Soft",
          IF(
             AND(OR(VLOOKUP(O$2,'TIS Site Config'!$A$3:$AQ$51,6,FALSE)="Heated",
                                VLOOKUP(O$2,'TIS Site Config'!$A$3:$AQ$51,6,FALSE)="Extreme Heated"),
                        AND(VLOOKUP(O$2,'TIS Site Config'!$A$3:$AQ$51,19,FALSE)&lt;&gt;2,
                                VLOOKUP(O$2,'TIS Site Config'!$A$3:$AQ$51,20,FALSE)&lt;&gt;2)),
                              1,0),0)</f>
        <v>0</v>
      </c>
      <c r="P5" s="150">
        <f>IF(VLOOKUP(P$2,'TIS Site Config'!$A$4:$AQ$51,3,FALSE)&lt;&gt;"Soft",
          IF(
             AND(OR(VLOOKUP(P$2,'TIS Site Config'!$A$3:$AQ$51,6,FALSE)="Heated",
                                VLOOKUP(P$2,'TIS Site Config'!$A$3:$AQ$51,6,FALSE)="Extreme Heated"),
                        AND(VLOOKUP(P$2,'TIS Site Config'!$A$3:$AQ$51,19,FALSE)&lt;&gt;2,
                                VLOOKUP(P$2,'TIS Site Config'!$A$3:$AQ$51,20,FALSE)&lt;&gt;2)),
                              1,0),0)</f>
        <v>0</v>
      </c>
      <c r="Q5" s="160">
        <f>IF(VLOOKUP(Q$2,'TIS Site Config'!$A$4:$AQ$51,3,FALSE)&lt;&gt;"Soft",
          IF(
             AND(OR(VLOOKUP(Q$2,'TIS Site Config'!$A$3:$AQ$51,6,FALSE)="Heated",
                                VLOOKUP(Q$2,'TIS Site Config'!$A$3:$AQ$51,6,FALSE)="Extreme Heated"),
                        AND(VLOOKUP(Q$2,'TIS Site Config'!$A$3:$AQ$51,19,FALSE)&lt;&gt;2,
                                VLOOKUP(Q$2,'TIS Site Config'!$A$3:$AQ$51,20,FALSE)&lt;&gt;2)),
                              1,0),0)</f>
        <v>0</v>
      </c>
      <c r="R5" s="126">
        <f>IF(VLOOKUP(R$2,'TIS Site Config'!$A$4:$AQ$51,3,FALSE)&lt;&gt;"Soft",
          IF(
             AND(OR(VLOOKUP(R$2,'TIS Site Config'!$A$3:$AQ$51,6,FALSE)="Heated",
                                VLOOKUP(R$2,'TIS Site Config'!$A$3:$AQ$51,6,FALSE)="Extreme Heated"),
                        AND(VLOOKUP(R$2,'TIS Site Config'!$A$3:$AQ$51,19,FALSE)&lt;&gt;2,
                                VLOOKUP(R$2,'TIS Site Config'!$A$3:$AQ$51,20,FALSE)&lt;&gt;2)),
                              1,0),0)</f>
        <v>0</v>
      </c>
      <c r="S5" s="150">
        <f>IF(VLOOKUP(S$2,'TIS Site Config'!$A$4:$AQ$51,3,FALSE)&lt;&gt;"Soft",
          IF(
             AND(OR(VLOOKUP(S$2,'TIS Site Config'!$A$3:$AQ$51,6,FALSE)="Heated",
                                VLOOKUP(S$2,'TIS Site Config'!$A$3:$AQ$51,6,FALSE)="Extreme Heated"),
                        AND(VLOOKUP(S$2,'TIS Site Config'!$A$3:$AQ$51,19,FALSE)&lt;&gt;2,
                                VLOOKUP(S$2,'TIS Site Config'!$A$3:$AQ$51,20,FALSE)&lt;&gt;2)),
                              1,0),0)</f>
        <v>0</v>
      </c>
      <c r="T5" s="160">
        <f>IF(VLOOKUP(T$2,'TIS Site Config'!$A$4:$AQ$51,3,FALSE)&lt;&gt;"Soft",
          IF(
             AND(OR(VLOOKUP(T$2,'TIS Site Config'!$A$3:$AQ$51,6,FALSE)="Heated",
                                VLOOKUP(T$2,'TIS Site Config'!$A$3:$AQ$51,6,FALSE)="Extreme Heated"),
                        AND(VLOOKUP(T$2,'TIS Site Config'!$A$3:$AQ$51,19,FALSE)&lt;&gt;2,
                                VLOOKUP(T$2,'TIS Site Config'!$A$3:$AQ$51,20,FALSE)&lt;&gt;2)),
                              1,0),0)</f>
        <v>0</v>
      </c>
      <c r="U5" s="126">
        <f>IF(VLOOKUP(U$2,'TIS Site Config'!$A$4:$AQ$51,3,FALSE)&lt;&gt;"Soft",
          IF(
             AND(OR(VLOOKUP(U$2,'TIS Site Config'!$A$3:$AQ$51,6,FALSE)="Heated",
                                VLOOKUP(U$2,'TIS Site Config'!$A$3:$AQ$51,6,FALSE)="Extreme Heated"),
                        AND(VLOOKUP(U$2,'TIS Site Config'!$A$3:$AQ$51,19,FALSE)&lt;&gt;2,
                                VLOOKUP(U$2,'TIS Site Config'!$A$3:$AQ$51,20,FALSE)&lt;&gt;2)),
                              1,0),0)</f>
        <v>0</v>
      </c>
      <c r="V5" s="160">
        <f>IF(VLOOKUP(V$2,'TIS Site Config'!$A$4:$AQ$51,3,FALSE)&lt;&gt;"Soft",
          IF(
             AND(OR(VLOOKUP(V$2,'TIS Site Config'!$A$3:$AQ$51,6,FALSE)="Heated",
                                VLOOKUP(V$2,'TIS Site Config'!$A$3:$AQ$51,6,FALSE)="Extreme Heated"),
                        AND(VLOOKUP(V$2,'TIS Site Config'!$A$3:$AQ$51,19,FALSE)&lt;&gt;2,
                                VLOOKUP(V$2,'TIS Site Config'!$A$3:$AQ$51,20,FALSE)&lt;&gt;2)),
                              1,0),0)</f>
        <v>0</v>
      </c>
      <c r="W5" s="163">
        <f>IF(VLOOKUP(W$2,'TIS Site Config'!$A$4:$AQ$51,3,FALSE)&lt;&gt;"Soft",
          IF(
             AND(OR(VLOOKUP(W$2,'TIS Site Config'!$A$3:$AQ$51,6,FALSE)="Heated",
                                VLOOKUP(W$2,'TIS Site Config'!$A$3:$AQ$51,6,FALSE)="Extreme Heated"),
                        AND(VLOOKUP(W$2,'TIS Site Config'!$A$3:$AQ$51,19,FALSE)&lt;&gt;2,
                                VLOOKUP(W$2,'TIS Site Config'!$A$3:$AQ$51,20,FALSE)&lt;&gt;2)),
                              1,0),0)</f>
        <v>1</v>
      </c>
      <c r="X5" s="165">
        <f>IF(VLOOKUP(X$2,'TIS Site Config'!$A$4:$AQ$51,3,FALSE)&lt;&gt;"Soft",
          IF(
             AND(OR(VLOOKUP(X$2,'TIS Site Config'!$A$3:$AQ$51,6,FALSE)="Heated",
                                VLOOKUP(X$2,'TIS Site Config'!$A$3:$AQ$51,6,FALSE)="Extreme Heated"),
                        AND(VLOOKUP(X$2,'TIS Site Config'!$A$3:$AQ$51,19,FALSE)&lt;&gt;2,
                                VLOOKUP(X$2,'TIS Site Config'!$A$3:$AQ$51,20,FALSE)&lt;&gt;2)),
                              1,0),0)</f>
        <v>0</v>
      </c>
      <c r="Y5" s="162">
        <f>IF(VLOOKUP(Y$2,'TIS Site Config'!$A$4:$AQ$51,3,FALSE)&lt;&gt;"Soft",
          IF(
             AND(OR(VLOOKUP(Y$2,'TIS Site Config'!$A$3:$AQ$51,6,FALSE)="Heated",
                                VLOOKUP(Y$2,'TIS Site Config'!$A$3:$AQ$51,6,FALSE)="Extreme Heated"),
                        AND(VLOOKUP(Y$2,'TIS Site Config'!$A$3:$AQ$51,19,FALSE)&lt;&gt;2,
                                VLOOKUP(Y$2,'TIS Site Config'!$A$3:$AQ$51,20,FALSE)&lt;&gt;2)),
                              1,0),0)</f>
        <v>1</v>
      </c>
      <c r="Z5" s="126">
        <f>IF(VLOOKUP(Z$2,'TIS Site Config'!$A$4:$AQ$51,3,FALSE)&lt;&gt;"Soft",
          IF(
             AND(OR(VLOOKUP(Z$2,'TIS Site Config'!$A$3:$AQ$51,6,FALSE)="Heated",
                                VLOOKUP(Z$2,'TIS Site Config'!$A$3:$AQ$51,6,FALSE)="Extreme Heated"),
                        AND(VLOOKUP(Z$2,'TIS Site Config'!$A$3:$AQ$51,19,FALSE)&lt;&gt;2,
                                VLOOKUP(Z$2,'TIS Site Config'!$A$3:$AQ$51,20,FALSE)&lt;&gt;2)),
                              1,0),0)</f>
        <v>0</v>
      </c>
      <c r="AA5" s="164">
        <f>IF(VLOOKUP(AA$2,'TIS Site Config'!$A$4:$AQ$51,3,FALSE)&lt;&gt;"Soft",
          IF(
             AND(OR(VLOOKUP(AA$2,'TIS Site Config'!$A$3:$AQ$51,6,FALSE)="Heated",
                                VLOOKUP(AA$2,'TIS Site Config'!$A$3:$AQ$51,6,FALSE)="Extreme Heated"),
                        AND(VLOOKUP(AA$2,'TIS Site Config'!$A$3:$AQ$51,19,FALSE)&lt;&gt;2,
                                VLOOKUP(AA$2,'TIS Site Config'!$A$3:$AQ$51,20,FALSE)&lt;&gt;2)),
                              1,0),0)</f>
        <v>1</v>
      </c>
      <c r="AB5" s="160">
        <f>IF(VLOOKUP(AB$2,'TIS Site Config'!$A$4:$AQ$51,3,FALSE)&lt;&gt;"Soft",
          IF(
             AND(OR(VLOOKUP(AB$2,'TIS Site Config'!$A$3:$AQ$51,6,FALSE)="Heated",
                                VLOOKUP(AB$2,'TIS Site Config'!$A$3:$AQ$51,6,FALSE)="Extreme Heated"),
                        AND(VLOOKUP(AB$2,'TIS Site Config'!$A$3:$AQ$51,19,FALSE)&lt;&gt;2,
                                VLOOKUP(AB$2,'TIS Site Config'!$A$3:$AQ$51,20,FALSE)&lt;&gt;2)),
                              1,0),0)</f>
        <v>0</v>
      </c>
      <c r="AC5" s="164">
        <f>IF(VLOOKUP(AC$2,'TIS Site Config'!$A$4:$AQ$51,3,FALSE)&lt;&gt;"Soft",
          IF(
             AND(OR(VLOOKUP(AC$2,'TIS Site Config'!$A$3:$AQ$51,6,FALSE)="Heated",
                                VLOOKUP(AC$2,'TIS Site Config'!$A$3:$AQ$51,6,FALSE)="Extreme Heated"),
                        AND(VLOOKUP(AC$2,'TIS Site Config'!$A$3:$AQ$51,19,FALSE)&lt;&gt;2,
                                VLOOKUP(AC$2,'TIS Site Config'!$A$3:$AQ$51,20,FALSE)&lt;&gt;2)),
                              1,0),0)</f>
        <v>0</v>
      </c>
      <c r="AD5" s="161">
        <f>IF(VLOOKUP(AD$2,'TIS Site Config'!$A$4:$AQ$51,3,FALSE)&lt;&gt;"Soft",
          IF(
             AND(OR(VLOOKUP(AD$2,'TIS Site Config'!$A$3:$AQ$51,6,FALSE)="Heated",
                                VLOOKUP(AD$2,'TIS Site Config'!$A$3:$AQ$51,6,FALSE)="Extreme Heated"),
                        AND(VLOOKUP(AD$2,'TIS Site Config'!$A$3:$AQ$51,19,FALSE)&lt;&gt;2,
                                VLOOKUP(AD$2,'TIS Site Config'!$A$3:$AQ$51,20,FALSE)&lt;&gt;2)),
                              1,0),0)</f>
        <v>0</v>
      </c>
      <c r="AE5" s="161">
        <f>IF(VLOOKUP(AE$2,'TIS Site Config'!$A$4:$AQ$51,3,FALSE)&lt;&gt;"Soft",
          IF(
             AND(OR(VLOOKUP(AE$2,'TIS Site Config'!$A$3:$AQ$51,6,FALSE)="Heated",
                                VLOOKUP(AE$2,'TIS Site Config'!$A$3:$AQ$51,6,FALSE)="Extreme Heated"),
                        AND(VLOOKUP(AE$2,'TIS Site Config'!$A$3:$AQ$51,19,FALSE)&lt;&gt;2,
                                VLOOKUP(AE$2,'TIS Site Config'!$A$3:$AQ$51,20,FALSE)&lt;&gt;2)),
                              1,0),0)</f>
        <v>0</v>
      </c>
      <c r="AF5" s="991">
        <f>IF(VLOOKUP(AF$2,'TIS Site Config'!$A$4:$AQ$51,3,FALSE)&lt;&gt;"Soft",
          IF(
             AND(OR(VLOOKUP(AF$2,'TIS Site Config'!$A$3:$AQ$51,6,FALSE)="Heated",
                                VLOOKUP(AF$2,'TIS Site Config'!$A$3:$AQ$51,6,FALSE)="Extreme Heated"),
                        AND(VLOOKUP(AF$2,'TIS Site Config'!$A$3:$AQ$51,19,FALSE)&lt;&gt;2,
                                VLOOKUP(AF$2,'TIS Site Config'!$A$3:$AQ$51,20,FALSE)&lt;&gt;2)),
                              1,0),0)</f>
        <v>0</v>
      </c>
      <c r="AG5" s="150">
        <f>IF(VLOOKUP(AG$2,'TIS Site Config'!$A$4:$AQ$51,3,FALSE)&lt;&gt;"Soft",
          IF(
             AND(OR(VLOOKUP(AG$2,'TIS Site Config'!$A$3:$AQ$51,6,FALSE)="Heated",
                                VLOOKUP(AG$2,'TIS Site Config'!$A$3:$AQ$51,6,FALSE)="Extreme Heated"),
                        AND(VLOOKUP(AG$2,'TIS Site Config'!$A$3:$AQ$51,19,FALSE)&lt;&gt;2,
                                VLOOKUP(AG$2,'TIS Site Config'!$A$3:$AQ$51,20,FALSE)&lt;&gt;2)),
                              1,0),0)</f>
        <v>0</v>
      </c>
      <c r="AH5" s="160">
        <f>IF(VLOOKUP(AH$2,'TIS Site Config'!$A$4:$AQ$51,3,FALSE)&lt;&gt;"Soft",
          IF(
             AND(OR(VLOOKUP(AH$2,'TIS Site Config'!$A$3:$AQ$51,6,FALSE)="Heated",
                                VLOOKUP(AH$2,'TIS Site Config'!$A$3:$AQ$51,6,FALSE)="Extreme Heated"),
                        AND(VLOOKUP(AH$2,'TIS Site Config'!$A$3:$AQ$51,19,FALSE)&lt;&gt;2,
                                VLOOKUP(AH$2,'TIS Site Config'!$A$3:$AQ$51,20,FALSE)&lt;&gt;2)),
                              1,0),0)</f>
        <v>0</v>
      </c>
      <c r="AI5" s="126">
        <f>IF(VLOOKUP(AI$2,'TIS Site Config'!$A$4:$AQ$51,3,FALSE)&lt;&gt;"Soft",
          IF(
             AND(OR(VLOOKUP(AI$2,'TIS Site Config'!$A$3:$AQ$51,6,FALSE)="Heated",
                                VLOOKUP(AI$2,'TIS Site Config'!$A$3:$AQ$51,6,FALSE)="Extreme Heated"),
                        AND(VLOOKUP(AI$2,'TIS Site Config'!$A$3:$AQ$51,19,FALSE)&lt;&gt;2,
                                VLOOKUP(AI$2,'TIS Site Config'!$A$3:$AQ$51,20,FALSE)&lt;&gt;2)),
                              1,0),0)</f>
        <v>0</v>
      </c>
      <c r="AJ5" s="150">
        <f>IF(VLOOKUP(AJ$2,'TIS Site Config'!$A$4:$AQ$51,3,FALSE)&lt;&gt;"Soft",
          IF(
             AND(OR(VLOOKUP(AJ$2,'TIS Site Config'!$A$3:$AQ$51,6,FALSE)="Heated",
                                VLOOKUP(AJ$2,'TIS Site Config'!$A$3:$AQ$51,6,FALSE)="Extreme Heated"),
                        AND(VLOOKUP(AJ$2,'TIS Site Config'!$A$3:$AQ$51,19,FALSE)&lt;&gt;2,
                                VLOOKUP(AJ$2,'TIS Site Config'!$A$3:$AQ$51,20,FALSE)&lt;&gt;2)),
                              1,0),0)</f>
        <v>0</v>
      </c>
      <c r="AK5" s="160">
        <f>IF(VLOOKUP(AK$2,'TIS Site Config'!$A$4:$AQ$51,3,FALSE)&lt;&gt;"Soft",
          IF(
             AND(OR(VLOOKUP(AK$2,'TIS Site Config'!$A$3:$AQ$51,6,FALSE)="Heated",
                                VLOOKUP(AK$2,'TIS Site Config'!$A$3:$AQ$51,6,FALSE)="Extreme Heated"),
                        AND(VLOOKUP(AK$2,'TIS Site Config'!$A$3:$AQ$51,19,FALSE)&lt;&gt;2,
                                VLOOKUP(AK$2,'TIS Site Config'!$A$3:$AQ$51,20,FALSE)&lt;&gt;2)),
                              1,0),0)</f>
        <v>0</v>
      </c>
      <c r="AL5" s="126">
        <f>IF(VLOOKUP(AL$2,'TIS Site Config'!$A$4:$AQ$51,3,FALSE)&lt;&gt;"Soft",
          IF(
             AND(OR(VLOOKUP(AL$2,'TIS Site Config'!$A$3:$AQ$51,6,FALSE)="Heated",
                                VLOOKUP(AL$2,'TIS Site Config'!$A$3:$AQ$51,6,FALSE)="Extreme Heated"),
                        AND(VLOOKUP(AL$2,'TIS Site Config'!$A$3:$AQ$51,19,FALSE)&lt;&gt;2,
                                VLOOKUP(AL$2,'TIS Site Config'!$A$3:$AQ$51,20,FALSE)&lt;&gt;2)),
                              1,0),0)</f>
        <v>0</v>
      </c>
      <c r="AM5" s="150">
        <f>IF(VLOOKUP(AM$2,'TIS Site Config'!$A$4:$AQ$51,3,FALSE)&lt;&gt;"Soft",
          IF(
             AND(OR(VLOOKUP(AM$2,'TIS Site Config'!$A$3:$AQ$51,6,FALSE)="Heated",
                                VLOOKUP(AM$2,'TIS Site Config'!$A$3:$AQ$51,6,FALSE)="Extreme Heated"),
                        AND(VLOOKUP(AM$2,'TIS Site Config'!$A$3:$AQ$51,19,FALSE)&lt;&gt;2,
                                VLOOKUP(AM$2,'TIS Site Config'!$A$3:$AQ$51,20,FALSE)&lt;&gt;2)),
                              1,0),0)</f>
        <v>0</v>
      </c>
      <c r="AN5" s="160">
        <f>IF(VLOOKUP(AN$2,'TIS Site Config'!$A$4:$AQ$51,3,FALSE)&lt;&gt;"Soft",
          IF(
             AND(OR(VLOOKUP(AN$2,'TIS Site Config'!$A$3:$AQ$51,6,FALSE)="Heated",
                                VLOOKUP(AN$2,'TIS Site Config'!$A$3:$AQ$51,6,FALSE)="Extreme Heated"),
                        AND(VLOOKUP(AN$2,'TIS Site Config'!$A$3:$AQ$51,19,FALSE)&lt;&gt;2,
                                VLOOKUP(AN$2,'TIS Site Config'!$A$3:$AQ$51,20,FALSE)&lt;&gt;2)),
                              1,0),0)</f>
        <v>0</v>
      </c>
      <c r="AO5" s="126">
        <f>IF(VLOOKUP(AO$2,'TIS Site Config'!$A$4:$AQ$51,3,FALSE)&lt;&gt;"Soft",
          IF(
             AND(OR(VLOOKUP(AO$2,'TIS Site Config'!$A$3:$AQ$51,6,FALSE)="Heated",
                                VLOOKUP(AO$2,'TIS Site Config'!$A$3:$AQ$51,6,FALSE)="Extreme Heated"),
                        AND(VLOOKUP(AO$2,'TIS Site Config'!$A$3:$AQ$51,19,FALSE)&lt;&gt;2,
                                VLOOKUP(AO$2,'TIS Site Config'!$A$3:$AQ$51,20,FALSE)&lt;&gt;2)),
                              1,0),0)</f>
        <v>0</v>
      </c>
      <c r="AP5" s="150">
        <f>IF(VLOOKUP(AP$2,'TIS Site Config'!$A$4:$AQ$51,3,FALSE)&lt;&gt;"Soft",
          IF(
             AND(OR(VLOOKUP(AP$2,'TIS Site Config'!$A$3:$AQ$51,6,FALSE)="Heated",
                                VLOOKUP(AP$2,'TIS Site Config'!$A$3:$AQ$51,6,FALSE)="Extreme Heated"),
                        AND(VLOOKUP(AP$2,'TIS Site Config'!$A$3:$AQ$51,19,FALSE)&lt;&gt;2,
                                VLOOKUP(AP$2,'TIS Site Config'!$A$3:$AQ$51,20,FALSE)&lt;&gt;2)),
                              1,0),0)</f>
        <v>0</v>
      </c>
      <c r="AQ5" s="131">
        <f>IF(VLOOKUP(AQ$2,'TIS Site Config'!$A$4:$AQ$51,3,FALSE)&lt;&gt;"Soft",
          IF(
             AND(OR(VLOOKUP(AQ$2,'TIS Site Config'!$A$3:$AQ$51,6,FALSE)="Heated",
                                VLOOKUP(AQ$2,'TIS Site Config'!$A$3:$AQ$51,6,FALSE)="Extreme Heated"),
                        AND(VLOOKUP(AQ$2,'TIS Site Config'!$A$3:$AQ$51,19,FALSE)&lt;&gt;2,
                                VLOOKUP(AQ$2,'TIS Site Config'!$A$3:$AQ$51,20,FALSE)&lt;&gt;2)),
                              1,0),0)</f>
        <v>1</v>
      </c>
      <c r="AR5" s="126">
        <f>IF(VLOOKUP(AR$2,'TIS Site Config'!$A$4:$AQ$51,3,FALSE)&lt;&gt;"Soft",
          IF(
             AND(OR(VLOOKUP(AR$2,'TIS Site Config'!$A$3:$AQ$51,6,FALSE)="Heated",
                                VLOOKUP(AR$2,'TIS Site Config'!$A$3:$AQ$51,6,FALSE)="Extreme Heated"),
                        AND(VLOOKUP(AR$2,'TIS Site Config'!$A$3:$AQ$51,19,FALSE)&lt;&gt;2,
                                VLOOKUP(AR$2,'TIS Site Config'!$A$3:$AQ$51,20,FALSE)&lt;&gt;2)),
                              1,0),0)</f>
        <v>0</v>
      </c>
      <c r="AS5" s="150">
        <f>IF(VLOOKUP(AS$2,'TIS Site Config'!$A$4:$AQ$51,3,FALSE)&lt;&gt;"Soft",
          IF(
             AND(OR(VLOOKUP(AS$2,'TIS Site Config'!$A$3:$AQ$51,6,FALSE)="Heated",
                                VLOOKUP(AS$2,'TIS Site Config'!$A$3:$AQ$51,6,FALSE)="Extreme Heated"),
                        AND(VLOOKUP(AS$2,'TIS Site Config'!$A$3:$AQ$51,19,FALSE)&lt;&gt;2,
                                VLOOKUP(AS$2,'TIS Site Config'!$A$3:$AQ$51,20,FALSE)&lt;&gt;2)),
                              1,0),0)</f>
        <v>0</v>
      </c>
      <c r="AT5" s="126">
        <f>IF(VLOOKUP(AT$2,'TIS Site Config'!$A$4:$AQ$51,3,FALSE)&lt;&gt;"Soft",
          IF(
             AND(OR(VLOOKUP(AT$2,'TIS Site Config'!$A$3:$AQ$51,6,FALSE)="Heated",
                                VLOOKUP(AT$2,'TIS Site Config'!$A$3:$AQ$51,6,FALSE)="Extreme Heated"),
                        AND(VLOOKUP(AT$2,'TIS Site Config'!$A$3:$AQ$51,19,FALSE)&lt;&gt;2,
                                VLOOKUP(AT$2,'TIS Site Config'!$A$3:$AQ$51,20,FALSE)&lt;&gt;2)),
                              1,0),0)</f>
        <v>0</v>
      </c>
      <c r="AU5" s="150">
        <f>IF(VLOOKUP(AU$2,'TIS Site Config'!$A$4:$AQ$51,3,FALSE)&lt;&gt;"Soft",
          IF(
             AND(OR(VLOOKUP(AU$2,'TIS Site Config'!$A$3:$AQ$51,6,FALSE)="Heated",
                                VLOOKUP(AU$2,'TIS Site Config'!$A$3:$AQ$51,6,FALSE)="Extreme Heated"),
                        AND(VLOOKUP(AU$2,'TIS Site Config'!$A$3:$AQ$51,19,FALSE)&lt;&gt;2,
                                VLOOKUP(AU$2,'TIS Site Config'!$A$3:$AQ$51,20,FALSE)&lt;&gt;2)),
                              1,0),0)</f>
        <v>0</v>
      </c>
      <c r="AV5" s="126">
        <f>IF(VLOOKUP(AV$2,'TIS Site Config'!$A$4:$AQ$51,3,FALSE)&lt;&gt;"Soft",
          IF(
             AND(OR(VLOOKUP(AV$2,'TIS Site Config'!$A$3:$AQ$51,6,FALSE)="Heated",
                                VLOOKUP(AV$2,'TIS Site Config'!$A$3:$AQ$51,6,FALSE)="Extreme Heated"),
                        AND(VLOOKUP(AV$2,'TIS Site Config'!$A$3:$AQ$51,19,FALSE)&lt;&gt;2,
                                VLOOKUP(AV$2,'TIS Site Config'!$A$3:$AQ$51,20,FALSE)&lt;&gt;2)),
                              1,0),0)</f>
        <v>0</v>
      </c>
      <c r="AW5" s="131">
        <f>IF(VLOOKUP(AW$2,'TIS Site Config'!$A$4:$AQ$51,3,FALSE)&lt;&gt;"Soft",
          IF(
             AND(OR(VLOOKUP(AW$2,'TIS Site Config'!$A$3:$AQ$51,6,FALSE)="Heated",
                                VLOOKUP(AW$2,'TIS Site Config'!$A$3:$AQ$51,6,FALSE)="Extreme Heated"),
                        AND(VLOOKUP(AW$2,'TIS Site Config'!$A$3:$AQ$51,19,FALSE)&lt;&gt;2,
                                VLOOKUP(AW$2,'TIS Site Config'!$A$3:$AQ$51,20,FALSE)&lt;&gt;2)),
                              1,0),0)</f>
        <v>1</v>
      </c>
      <c r="AX5" s="160">
        <f>IF(VLOOKUP(AX$2,'TIS Site Config'!$A$4:$AQ$51,3,FALSE)&lt;&gt;"Soft",
          IF(
             AND(OR(VLOOKUP(AX$2,'TIS Site Config'!$A$3:$AQ$51,6,FALSE)="Heated",
                                VLOOKUP(AX$2,'TIS Site Config'!$A$3:$AQ$51,6,FALSE)="Extreme Heated"),
                        AND(VLOOKUP(AX$2,'TIS Site Config'!$A$3:$AQ$51,19,FALSE)&lt;&gt;2,
                                VLOOKUP(AX$2,'TIS Site Config'!$A$3:$AQ$51,20,FALSE)&lt;&gt;2)),
                              1,0),0)</f>
        <v>0</v>
      </c>
      <c r="AY5" s="126">
        <f>IF(VLOOKUP(AY$2,'TIS Site Config'!$A$4:$AQ$51,3,FALSE)&lt;&gt;"Soft",
          IF(
             AND(OR(VLOOKUP(AY$2,'TIS Site Config'!$A$3:$AQ$51,6,FALSE)="Heated",
                                VLOOKUP(AY$2,'TIS Site Config'!$A$3:$AQ$51,6,FALSE)="Extreme Heated"),
                        AND(VLOOKUP(AY$2,'TIS Site Config'!$A$3:$AQ$51,19,FALSE)&lt;&gt;2,
                                VLOOKUP(AY$2,'TIS Site Config'!$A$3:$AQ$51,20,FALSE)&lt;&gt;2)),
                              1,0),0)</f>
        <v>0</v>
      </c>
      <c r="AZ5" s="150">
        <f>IF(VLOOKUP(AZ$2,'TIS Site Config'!$A$4:$AQ$51,3,FALSE)&lt;&gt;"Soft",
          IF(
             AND(OR(VLOOKUP(AZ$2,'TIS Site Config'!$A$3:$AQ$51,6,FALSE)="Heated",
                                VLOOKUP(AZ$2,'TIS Site Config'!$A$3:$AQ$51,6,FALSE)="Extreme Heated"),
                        AND(VLOOKUP(AZ$2,'TIS Site Config'!$A$3:$AQ$51,19,FALSE)&lt;&gt;2,
                                VLOOKUP(AZ$2,'TIS Site Config'!$A$3:$AQ$51,20,FALSE)&lt;&gt;2)),
                              1,0),0)</f>
        <v>0</v>
      </c>
      <c r="BA5" s="161">
        <f>IF(VLOOKUP(BA$2,'TIS Site Config'!$A$4:$AQ$51,3,FALSE)&lt;&gt;"Soft",
          IF(
             AND(OR(VLOOKUP(BA$2,'TIS Site Config'!$A$3:$AQ$51,6,FALSE)="Heated",
                                VLOOKUP(BA$2,'TIS Site Config'!$A$3:$AQ$51,6,FALSE)="Extreme Heated"),
                        AND(VLOOKUP(BA$2,'TIS Site Config'!$A$3:$AQ$51,19,FALSE)&lt;&gt;2,
                                VLOOKUP(BA$2,'TIS Site Config'!$A$3:$AQ$51,20,FALSE)&lt;&gt;2)),
                              1,0),0)</f>
        <v>1</v>
      </c>
      <c r="BB5" s="126">
        <f>IF(VLOOKUP(BB$2,'TIS Site Config'!$A$4:$AQ$51,3,FALSE)&lt;&gt;"Soft",
          IF(
             AND(OR(VLOOKUP(BB$2,'TIS Site Config'!$A$3:$AQ$51,6,FALSE)="Heated",
                                VLOOKUP(BB$2,'TIS Site Config'!$A$3:$AQ$51,6,FALSE)="Extreme Heated"),
                        AND(VLOOKUP(BB$2,'TIS Site Config'!$A$3:$AQ$51,19,FALSE)&lt;&gt;2,
                                VLOOKUP(BB$2,'TIS Site Config'!$A$3:$AQ$51,20,FALSE)&lt;&gt;2)),
                              1,0),0)</f>
        <v>0</v>
      </c>
      <c r="BC5" s="160">
        <f>IF(VLOOKUP(BC$2,'TIS Site Config'!$A$4:$AQ$51,3,FALSE)&lt;&gt;"Soft",
          IF(
             AND(OR(VLOOKUP(BC$2,'TIS Site Config'!$A$3:$AQ$51,6,FALSE)="Heated",
                                VLOOKUP(BC$2,'TIS Site Config'!$A$3:$AQ$51,6,FALSE)="Extreme Heated"),
                        AND(VLOOKUP(BC$2,'TIS Site Config'!$A$3:$AQ$51,19,FALSE)&lt;&gt;2,
                                VLOOKUP(BC$2,'TIS Site Config'!$A$3:$AQ$51,20,FALSE)&lt;&gt;2)),
                              1,0),0)</f>
        <v>0</v>
      </c>
      <c r="BD5" s="126">
        <f>IF(VLOOKUP(BD$2,'TIS Site Config'!$A$4:$AQ$51,3,FALSE)&lt;&gt;"Soft",
          IF(
             AND(OR(VLOOKUP(BD$2,'TIS Site Config'!$A$3:$AQ$51,6,FALSE)="Heated",
                                VLOOKUP(BD$2,'TIS Site Config'!$A$3:$AQ$51,6,FALSE)="Extreme Heated"),
                        AND(VLOOKUP(BD$2,'TIS Site Config'!$A$3:$AQ$51,19,FALSE)&lt;&gt;2,
                                VLOOKUP(BD$2,'TIS Site Config'!$A$3:$AQ$51,20,FALSE)&lt;&gt;2)),
                              1,0),0)</f>
        <v>0</v>
      </c>
      <c r="BE5" s="150">
        <f>IF(VLOOKUP(BE$2,'TIS Site Config'!$A$4:$AQ$51,3,FALSE)&lt;&gt;"Soft",
          IF(
             AND(OR(VLOOKUP(BE$2,'TIS Site Config'!$A$3:$AQ$51,6,FALSE)="Heated",
                                VLOOKUP(BE$2,'TIS Site Config'!$A$3:$AQ$51,6,FALSE)="Extreme Heated"),
                        AND(VLOOKUP(BE$2,'TIS Site Config'!$A$3:$AQ$51,19,FALSE)&lt;&gt;2,
                                VLOOKUP(BE$2,'TIS Site Config'!$A$3:$AQ$51,20,FALSE)&lt;&gt;2)),
                              1,0),0)</f>
        <v>0</v>
      </c>
      <c r="BF5" s="160">
        <f>IF(VLOOKUP(BF$2,'TIS Site Config'!$A$4:$AQ$51,3,FALSE)&lt;&gt;"Soft",
          IF(
             AND(OR(VLOOKUP(BF$2,'TIS Site Config'!$A$3:$AQ$51,6,FALSE)="Heated",
                                VLOOKUP(BF$2,'TIS Site Config'!$A$3:$AQ$51,6,FALSE)="Extreme Heated"),
                        AND(VLOOKUP(BF$2,'TIS Site Config'!$A$3:$AQ$51,19,FALSE)&lt;&gt;2,
                                VLOOKUP(BF$2,'TIS Site Config'!$A$3:$AQ$51,20,FALSE)&lt;&gt;2)),
                              1,0),0)</f>
        <v>0</v>
      </c>
      <c r="BG5" s="198">
        <f>IF(VLOOKUP(BG$2,'TIS Site Config'!$A$4:$AQ$51,3,FALSE)&lt;&gt;"Soft",
          IF(
             AND(OR(VLOOKUP(BG$2,'TIS Site Config'!$A$3:$AQ$51,6,FALSE)="Heated",
                                VLOOKUP(BG$2,'TIS Site Config'!$A$3:$AQ$51,6,FALSE)="Extreme Heated"),
                        AND(VLOOKUP(BG$2,'TIS Site Config'!$A$3:$AQ$51,19,FALSE)&lt;&gt;2,
                                VLOOKUP(BG$2,'TIS Site Config'!$A$3:$AQ$51,20,FALSE)&lt;&gt;2)),
                              1,0),0)</f>
        <v>0</v>
      </c>
      <c r="BH5" s="1074">
        <f>IF(VLOOKUP(BH$2,'TIS Site Config'!$A$4:$AQ$51,3,FALSE)&lt;&gt;"Soft",
          IF(
             AND(OR(VLOOKUP(BH$2,'TIS Site Config'!$A$3:$AQ$51,6,FALSE)="Heated",
                                VLOOKUP(BH$2,'TIS Site Config'!$A$3:$AQ$51,6,FALSE)="Extreme Heated"),
                        AND(VLOOKUP(BH$2,'TIS Site Config'!$A$3:$AQ$51,19,FALSE)&lt;&gt;2,
                                VLOOKUP(BH$2,'TIS Site Config'!$A$3:$AQ$51,20,FALSE)&lt;&gt;2)),
                              1,0),0)</f>
        <v>0</v>
      </c>
      <c r="BK5" s="3">
        <v>9</v>
      </c>
      <c r="BL5" s="950" t="b">
        <f t="shared" si="0"/>
        <v>0</v>
      </c>
      <c r="BO5" s="950"/>
    </row>
    <row r="6" spans="1:67" x14ac:dyDescent="0.25">
      <c r="A6" s="1366"/>
      <c r="B6" s="1361"/>
      <c r="C6" s="61" t="s">
        <v>181</v>
      </c>
      <c r="D6" s="62">
        <v>1</v>
      </c>
      <c r="E6" s="85" t="s">
        <v>285</v>
      </c>
      <c r="F6" s="62">
        <f t="shared" si="1"/>
        <v>8</v>
      </c>
      <c r="G6" s="450"/>
      <c r="H6" s="451"/>
      <c r="I6" s="451"/>
      <c r="J6" s="451"/>
      <c r="K6" s="452"/>
      <c r="L6" s="491"/>
      <c r="M6" s="131">
        <f>IF(VLOOKUP(M$2,'TIS Site Config'!$A$4:$AQ$51,3,FALSE)&lt;&gt;"Soft",
          IF(
             AND(VLOOKUP(M$2,'TIS Site Config'!$A$3:$AQ$51,6,FALSE)="Non-heated",
                        OR(VLOOKUP(M$2,'TIS Site Config'!$A$3:$AQ$51,19,FALSE)=2,
                                VLOOKUP(M$2,'TIS Site Config'!$A$3:$AQ$51,20,FALSE)=2)
                      ),
                              1,0),0)</f>
        <v>0</v>
      </c>
      <c r="N6" s="160">
        <f>IF(VLOOKUP(N$2,'TIS Site Config'!$A$4:$AQ$51,3,FALSE)&lt;&gt;"Soft",
          IF(
             AND(VLOOKUP(N$2,'TIS Site Config'!$A$3:$AQ$51,6,FALSE)="Non-heated",
                        OR(VLOOKUP(N$2,'TIS Site Config'!$A$3:$AQ$51,19,FALSE)=2,
                                VLOOKUP(N$2,'TIS Site Config'!$A$3:$AQ$51,20,FALSE)=2)
                      ),
                              1,0),0)</f>
        <v>0</v>
      </c>
      <c r="O6" s="152">
        <f>IF(VLOOKUP(O$2,'TIS Site Config'!$A$4:$AQ$51,3,FALSE)&lt;&gt;"Soft",
          IF(
             AND(VLOOKUP(O$2,'TIS Site Config'!$A$3:$AQ$51,6,FALSE)="Non-heated",
                        OR(VLOOKUP(O$2,'TIS Site Config'!$A$3:$AQ$51,19,FALSE)=2,
                                VLOOKUP(O$2,'TIS Site Config'!$A$3:$AQ$51,20,FALSE)=2)
                      ),
                              1,0),0)</f>
        <v>0</v>
      </c>
      <c r="P6" s="150">
        <f>IF(VLOOKUP(P$2,'TIS Site Config'!$A$4:$AQ$51,3,FALSE)&lt;&gt;"Soft",
          IF(
             AND(VLOOKUP(P$2,'TIS Site Config'!$A$3:$AQ$51,6,FALSE)="Non-heated",
                        OR(VLOOKUP(P$2,'TIS Site Config'!$A$3:$AQ$51,19,FALSE)=2,
                                VLOOKUP(P$2,'TIS Site Config'!$A$3:$AQ$51,20,FALSE)=2)
                      ),
                              1,0),0)</f>
        <v>0</v>
      </c>
      <c r="Q6" s="160">
        <f>IF(VLOOKUP(Q$2,'TIS Site Config'!$A$4:$AQ$51,3,FALSE)&lt;&gt;"Soft",
          IF(
             AND(VLOOKUP(Q$2,'TIS Site Config'!$A$3:$AQ$51,6,FALSE)="Non-heated",
                        OR(VLOOKUP(Q$2,'TIS Site Config'!$A$3:$AQ$51,19,FALSE)=2,
                                VLOOKUP(Q$2,'TIS Site Config'!$A$3:$AQ$51,20,FALSE)=2)
                      ),
                              1,0),0)</f>
        <v>0</v>
      </c>
      <c r="R6" s="126">
        <f>IF(VLOOKUP(R$2,'TIS Site Config'!$A$4:$AQ$51,3,FALSE)&lt;&gt;"Soft",
          IF(
             AND(VLOOKUP(R$2,'TIS Site Config'!$A$3:$AQ$51,6,FALSE)="Non-heated",
                        OR(VLOOKUP(R$2,'TIS Site Config'!$A$3:$AQ$51,19,FALSE)=2,
                                VLOOKUP(R$2,'TIS Site Config'!$A$3:$AQ$51,20,FALSE)=2)
                      ),
                              1,0),0)</f>
        <v>0</v>
      </c>
      <c r="S6" s="150">
        <f>IF(VLOOKUP(S$2,'TIS Site Config'!$A$4:$AQ$51,3,FALSE)&lt;&gt;"Soft",
          IF(
             AND(VLOOKUP(S$2,'TIS Site Config'!$A$3:$AQ$51,6,FALSE)="Non-heated",
                        OR(VLOOKUP(S$2,'TIS Site Config'!$A$3:$AQ$51,19,FALSE)=2,
                                VLOOKUP(S$2,'TIS Site Config'!$A$3:$AQ$51,20,FALSE)=2)
                      ),
                              1,0),0)</f>
        <v>1</v>
      </c>
      <c r="T6" s="160">
        <f>IF(VLOOKUP(T$2,'TIS Site Config'!$A$4:$AQ$51,3,FALSE)&lt;&gt;"Soft",
          IF(
             AND(VLOOKUP(T$2,'TIS Site Config'!$A$3:$AQ$51,6,FALSE)="Non-heated",
                        OR(VLOOKUP(T$2,'TIS Site Config'!$A$3:$AQ$51,19,FALSE)=2,
                                VLOOKUP(T$2,'TIS Site Config'!$A$3:$AQ$51,20,FALSE)=2)
                      ),
                              1,0),0)</f>
        <v>1</v>
      </c>
      <c r="U6" s="126">
        <f>IF(VLOOKUP(U$2,'TIS Site Config'!$A$4:$AQ$51,3,FALSE)&lt;&gt;"Soft",
          IF(
             AND(VLOOKUP(U$2,'TIS Site Config'!$A$3:$AQ$51,6,FALSE)="Non-heated",
                        OR(VLOOKUP(U$2,'TIS Site Config'!$A$3:$AQ$51,19,FALSE)=2,
                                VLOOKUP(U$2,'TIS Site Config'!$A$3:$AQ$51,20,FALSE)=2)
                      ),
                              1,0),0)</f>
        <v>1</v>
      </c>
      <c r="V6" s="160">
        <f>IF(VLOOKUP(V$2,'TIS Site Config'!$A$4:$AQ$51,3,FALSE)&lt;&gt;"Soft",
          IF(
             AND(VLOOKUP(V$2,'TIS Site Config'!$A$3:$AQ$51,6,FALSE)="Non-heated",
                        OR(VLOOKUP(V$2,'TIS Site Config'!$A$3:$AQ$51,19,FALSE)=2,
                                VLOOKUP(V$2,'TIS Site Config'!$A$3:$AQ$51,20,FALSE)=2)
                      ),
                              1,0),0)</f>
        <v>1</v>
      </c>
      <c r="W6" s="163">
        <f>IF(VLOOKUP(W$2,'TIS Site Config'!$A$4:$AQ$51,3,FALSE)&lt;&gt;"Soft",
          IF(
             AND(VLOOKUP(W$2,'TIS Site Config'!$A$3:$AQ$51,6,FALSE)="Non-heated",
                        OR(VLOOKUP(W$2,'TIS Site Config'!$A$3:$AQ$51,19,FALSE)=2,
                                VLOOKUP(W$2,'TIS Site Config'!$A$3:$AQ$51,20,FALSE)=2)
                      ),
                              1,0),0)</f>
        <v>0</v>
      </c>
      <c r="X6" s="165">
        <f>IF(VLOOKUP(X$2,'TIS Site Config'!$A$4:$AQ$51,3,FALSE)&lt;&gt;"Soft",
          IF(
             AND(VLOOKUP(X$2,'TIS Site Config'!$A$3:$AQ$51,6,FALSE)="Non-heated",
                        OR(VLOOKUP(X$2,'TIS Site Config'!$A$3:$AQ$51,19,FALSE)=2,
                                VLOOKUP(X$2,'TIS Site Config'!$A$3:$AQ$51,20,FALSE)=2)
                      ),
                              1,0),0)</f>
        <v>0</v>
      </c>
      <c r="Y6" s="162">
        <f>IF(VLOOKUP(Y$2,'TIS Site Config'!$A$4:$AQ$51,3,FALSE)&lt;&gt;"Soft",
          IF(
             AND(VLOOKUP(Y$2,'TIS Site Config'!$A$3:$AQ$51,6,FALSE)="Non-heated",
                        OR(VLOOKUP(Y$2,'TIS Site Config'!$A$3:$AQ$51,19,FALSE)=2,
                                VLOOKUP(Y$2,'TIS Site Config'!$A$3:$AQ$51,20,FALSE)=2)
                      ),
                              1,0),0)</f>
        <v>0</v>
      </c>
      <c r="Z6" s="126">
        <f>IF(VLOOKUP(Z$2,'TIS Site Config'!$A$4:$AQ$51,3,FALSE)&lt;&gt;"Soft",
          IF(
             AND(VLOOKUP(Z$2,'TIS Site Config'!$A$3:$AQ$51,6,FALSE)="Non-heated",
                        OR(VLOOKUP(Z$2,'TIS Site Config'!$A$3:$AQ$51,19,FALSE)=2,
                                VLOOKUP(Z$2,'TIS Site Config'!$A$3:$AQ$51,20,FALSE)=2)
                      ),
                              1,0),0)</f>
        <v>0</v>
      </c>
      <c r="AA6" s="150">
        <f>IF(VLOOKUP(AA$2,'TIS Site Config'!$A$4:$AQ$51,3,FALSE)&lt;&gt;"Soft",
          IF(
             AND(VLOOKUP(AA$2,'TIS Site Config'!$A$3:$AQ$51,6,FALSE)="Non-heated",
                        OR(VLOOKUP(AA$2,'TIS Site Config'!$A$3:$AQ$51,19,FALSE)=2,
                                VLOOKUP(AA$2,'TIS Site Config'!$A$3:$AQ$51,20,FALSE)=2)
                      ),
                              1,0),0)</f>
        <v>0</v>
      </c>
      <c r="AB6" s="160">
        <f>IF(VLOOKUP(AB$2,'TIS Site Config'!$A$4:$AQ$51,3,FALSE)&lt;&gt;"Soft",
          IF(
             AND(VLOOKUP(AB$2,'TIS Site Config'!$A$3:$AQ$51,6,FALSE)="Non-heated",
                        OR(VLOOKUP(AB$2,'TIS Site Config'!$A$3:$AQ$51,19,FALSE)=2,
                                VLOOKUP(AB$2,'TIS Site Config'!$A$3:$AQ$51,20,FALSE)=2)
                      ),
                              1,0),0)</f>
        <v>0</v>
      </c>
      <c r="AC6" s="150">
        <f>IF(VLOOKUP(AC$2,'TIS Site Config'!$A$4:$AQ$51,3,FALSE)&lt;&gt;"Soft",
          IF(
             AND(VLOOKUP(AC$2,'TIS Site Config'!$A$3:$AQ$51,6,FALSE)="Non-heated",
                        OR(VLOOKUP(AC$2,'TIS Site Config'!$A$3:$AQ$51,19,FALSE)=2,
                                VLOOKUP(AC$2,'TIS Site Config'!$A$3:$AQ$51,20,FALSE)=2)
                      ),
                              1,0),0)</f>
        <v>0</v>
      </c>
      <c r="AD6" s="161">
        <f>IF(VLOOKUP(AD$2,'TIS Site Config'!$A$4:$AQ$51,3,FALSE)&lt;&gt;"Soft",
          IF(
             AND(VLOOKUP(AD$2,'TIS Site Config'!$A$3:$AQ$51,6,FALSE)="Non-heated",
                        OR(VLOOKUP(AD$2,'TIS Site Config'!$A$3:$AQ$51,19,FALSE)=2,
                                VLOOKUP(AD$2,'TIS Site Config'!$A$3:$AQ$51,20,FALSE)=2)
                      ),
                              1,0),0)</f>
        <v>0</v>
      </c>
      <c r="AE6" s="161">
        <f>IF(VLOOKUP(AE$2,'TIS Site Config'!$A$4:$AQ$51,3,FALSE)&lt;&gt;"Soft",
          IF(
             AND(VLOOKUP(AE$2,'TIS Site Config'!$A$3:$AQ$51,6,FALSE)="Non-heated",
                        OR(VLOOKUP(AE$2,'TIS Site Config'!$A$3:$AQ$51,19,FALSE)=2,
                                VLOOKUP(AE$2,'TIS Site Config'!$A$3:$AQ$51,20,FALSE)=2)
                      ),
                              1,0),0)</f>
        <v>0</v>
      </c>
      <c r="AF6" s="992">
        <f>IF(VLOOKUP(AF$2,'TIS Site Config'!$A$4:$AQ$51,3,FALSE)&lt;&gt;"Soft",
          IF(
             AND(VLOOKUP(AF$2,'TIS Site Config'!$A$3:$AQ$51,6,FALSE)="Non-heated",
                        OR(VLOOKUP(AF$2,'TIS Site Config'!$A$3:$AQ$51,19,FALSE)=2,
                                VLOOKUP(AF$2,'TIS Site Config'!$A$3:$AQ$51,20,FALSE)=2)
                      ),
                              1,0),0)</f>
        <v>0</v>
      </c>
      <c r="AG6" s="150">
        <f>IF(VLOOKUP(AG$2,'TIS Site Config'!$A$4:$AQ$51,3,FALSE)&lt;&gt;"Soft",
          IF(
             AND(VLOOKUP(AG$2,'TIS Site Config'!$A$3:$AQ$51,6,FALSE)="Non-heated",
                        OR(VLOOKUP(AG$2,'TIS Site Config'!$A$3:$AQ$51,19,FALSE)=2,
                                VLOOKUP(AG$2,'TIS Site Config'!$A$3:$AQ$51,20,FALSE)=2)
                      ),
                              1,0),0)</f>
        <v>1</v>
      </c>
      <c r="AH6" s="162">
        <f>IF(VLOOKUP(AH$2,'TIS Site Config'!$A$4:$AQ$51,3,FALSE)&lt;&gt;"Soft",
          IF(
             AND(VLOOKUP(AH$2,'TIS Site Config'!$A$3:$AQ$51,6,FALSE)="Non-heated",
                        OR(VLOOKUP(AH$2,'TIS Site Config'!$A$3:$AQ$51,19,FALSE)=2,
                                VLOOKUP(AH$2,'TIS Site Config'!$A$3:$AQ$51,20,FALSE)=2)
                      ),
                              1,0),0)</f>
        <v>0</v>
      </c>
      <c r="AI6" s="126">
        <f>IF(VLOOKUP(AI$2,'TIS Site Config'!$A$4:$AQ$51,3,FALSE)&lt;&gt;"Soft",
          IF(
             AND(VLOOKUP(AI$2,'TIS Site Config'!$A$3:$AQ$51,6,FALSE)="Non-heated",
                        OR(VLOOKUP(AI$2,'TIS Site Config'!$A$3:$AQ$51,19,FALSE)=2,
                                VLOOKUP(AI$2,'TIS Site Config'!$A$3:$AQ$51,20,FALSE)=2)
                      ),
                              1,0),0)</f>
        <v>0</v>
      </c>
      <c r="AJ6" s="150">
        <f>IF(VLOOKUP(AJ$2,'TIS Site Config'!$A$4:$AQ$51,3,FALSE)&lt;&gt;"Soft",
          IF(
             AND(VLOOKUP(AJ$2,'TIS Site Config'!$A$3:$AQ$51,6,FALSE)="Non-heated",
                        OR(VLOOKUP(AJ$2,'TIS Site Config'!$A$3:$AQ$51,19,FALSE)=2,
                                VLOOKUP(AJ$2,'TIS Site Config'!$A$3:$AQ$51,20,FALSE)=2)
                      ),
                              1,0),0)</f>
        <v>0</v>
      </c>
      <c r="AK6" s="160">
        <f>IF(VLOOKUP(AK$2,'TIS Site Config'!$A$4:$AQ$51,3,FALSE)&lt;&gt;"Soft",
          IF(
             AND(VLOOKUP(AK$2,'TIS Site Config'!$A$3:$AQ$51,6,FALSE)="Non-heated",
                        OR(VLOOKUP(AK$2,'TIS Site Config'!$A$3:$AQ$51,19,FALSE)=2,
                                VLOOKUP(AK$2,'TIS Site Config'!$A$3:$AQ$51,20,FALSE)=2)
                      ),
                              1,0),0)</f>
        <v>0</v>
      </c>
      <c r="AL6" s="126">
        <f>IF(VLOOKUP(AL$2,'TIS Site Config'!$A$4:$AQ$51,3,FALSE)&lt;&gt;"Soft",
          IF(
             AND(VLOOKUP(AL$2,'TIS Site Config'!$A$3:$AQ$51,6,FALSE)="Non-heated",
                        OR(VLOOKUP(AL$2,'TIS Site Config'!$A$3:$AQ$51,19,FALSE)=2,
                                VLOOKUP(AL$2,'TIS Site Config'!$A$3:$AQ$51,20,FALSE)=2)
                      ),
                              1,0),0)</f>
        <v>0</v>
      </c>
      <c r="AM6" s="150">
        <f>IF(VLOOKUP(AM$2,'TIS Site Config'!$A$4:$AQ$51,3,FALSE)&lt;&gt;"Soft",
          IF(
             AND(VLOOKUP(AM$2,'TIS Site Config'!$A$3:$AQ$51,6,FALSE)="Non-heated",
                        OR(VLOOKUP(AM$2,'TIS Site Config'!$A$3:$AQ$51,19,FALSE)=2,
                                VLOOKUP(AM$2,'TIS Site Config'!$A$3:$AQ$51,20,FALSE)=2)
                      ),
                              1,0),0)</f>
        <v>0</v>
      </c>
      <c r="AN6" s="160">
        <f>IF(VLOOKUP(AN$2,'TIS Site Config'!$A$4:$AQ$51,3,FALSE)&lt;&gt;"Soft",
          IF(
             AND(VLOOKUP(AN$2,'TIS Site Config'!$A$3:$AQ$51,6,FALSE)="Non-heated",
                        OR(VLOOKUP(AN$2,'TIS Site Config'!$A$3:$AQ$51,19,FALSE)=2,
                                VLOOKUP(AN$2,'TIS Site Config'!$A$3:$AQ$51,20,FALSE)=2)
                      ),
                              1,0),0)</f>
        <v>0</v>
      </c>
      <c r="AO6" s="126">
        <f>IF(VLOOKUP(AO$2,'TIS Site Config'!$A$4:$AQ$51,3,FALSE)&lt;&gt;"Soft",
          IF(
             AND(VLOOKUP(AO$2,'TIS Site Config'!$A$3:$AQ$51,6,FALSE)="Non-heated",
                        OR(VLOOKUP(AO$2,'TIS Site Config'!$A$3:$AQ$51,19,FALSE)=2,
                                VLOOKUP(AO$2,'TIS Site Config'!$A$3:$AQ$51,20,FALSE)=2)
                      ),
                              1,0),0)</f>
        <v>0</v>
      </c>
      <c r="AP6" s="150">
        <f>IF(VLOOKUP(AP$2,'TIS Site Config'!$A$4:$AQ$51,3,FALSE)&lt;&gt;"Soft",
          IF(
             AND(VLOOKUP(AP$2,'TIS Site Config'!$A$3:$AQ$51,6,FALSE)="Non-heated",
                        OR(VLOOKUP(AP$2,'TIS Site Config'!$A$3:$AQ$51,19,FALSE)=2,
                                VLOOKUP(AP$2,'TIS Site Config'!$A$3:$AQ$51,20,FALSE)=2)
                      ),
                              1,0),0)</f>
        <v>0</v>
      </c>
      <c r="AQ6" s="131">
        <f>IF(VLOOKUP(AQ$2,'TIS Site Config'!$A$4:$AQ$51,3,FALSE)&lt;&gt;"Soft",
          IF(
             AND(VLOOKUP(AQ$2,'TIS Site Config'!$A$3:$AQ$51,6,FALSE)="Non-heated",
                        OR(VLOOKUP(AQ$2,'TIS Site Config'!$A$3:$AQ$51,19,FALSE)=2,
                                VLOOKUP(AQ$2,'TIS Site Config'!$A$3:$AQ$51,20,FALSE)=2)
                      ),
                              1,0),0)</f>
        <v>0</v>
      </c>
      <c r="AR6" s="126">
        <f>IF(VLOOKUP(AR$2,'TIS Site Config'!$A$4:$AQ$51,3,FALSE)&lt;&gt;"Soft",
          IF(
             AND(VLOOKUP(AR$2,'TIS Site Config'!$A$3:$AQ$51,6,FALSE)="Non-heated",
                        OR(VLOOKUP(AR$2,'TIS Site Config'!$A$3:$AQ$51,19,FALSE)=2,
                                VLOOKUP(AR$2,'TIS Site Config'!$A$3:$AQ$51,20,FALSE)=2)
                      ),
                              1,0),0)</f>
        <v>0</v>
      </c>
      <c r="AS6" s="150">
        <f>IF(VLOOKUP(AS$2,'TIS Site Config'!$A$4:$AQ$51,3,FALSE)&lt;&gt;"Soft",
          IF(
             AND(VLOOKUP(AS$2,'TIS Site Config'!$A$3:$AQ$51,6,FALSE)="Non-heated",
                        OR(VLOOKUP(AS$2,'TIS Site Config'!$A$3:$AQ$51,19,FALSE)=2,
                                VLOOKUP(AS$2,'TIS Site Config'!$A$3:$AQ$51,20,FALSE)=2)
                      ),
                              1,0),0)</f>
        <v>0</v>
      </c>
      <c r="AT6" s="126">
        <f>IF(VLOOKUP(AT$2,'TIS Site Config'!$A$4:$AQ$51,3,FALSE)&lt;&gt;"Soft",
          IF(
             AND(VLOOKUP(AT$2,'TIS Site Config'!$A$3:$AQ$51,6,FALSE)="Non-heated",
                        OR(VLOOKUP(AT$2,'TIS Site Config'!$A$3:$AQ$51,19,FALSE)=2,
                                VLOOKUP(AT$2,'TIS Site Config'!$A$3:$AQ$51,20,FALSE)=2)
                      ),
                              1,0),0)</f>
        <v>1</v>
      </c>
      <c r="AU6" s="150">
        <f>IF(VLOOKUP(AU$2,'TIS Site Config'!$A$4:$AQ$51,3,FALSE)&lt;&gt;"Soft",
          IF(
             AND(VLOOKUP(AU$2,'TIS Site Config'!$A$3:$AQ$51,6,FALSE)="Non-heated",
                        OR(VLOOKUP(AU$2,'TIS Site Config'!$A$3:$AQ$51,19,FALSE)=2,
                                VLOOKUP(AU$2,'TIS Site Config'!$A$3:$AQ$51,20,FALSE)=2)
                      ),
                              1,0),0)</f>
        <v>1</v>
      </c>
      <c r="AV6" s="126">
        <f>IF(VLOOKUP(AV$2,'TIS Site Config'!$A$4:$AQ$51,3,FALSE)&lt;&gt;"Soft",
          IF(
             AND(VLOOKUP(AV$2,'TIS Site Config'!$A$3:$AQ$51,6,FALSE)="Non-heated",
                        OR(VLOOKUP(AV$2,'TIS Site Config'!$A$3:$AQ$51,19,FALSE)=2,
                                VLOOKUP(AV$2,'TIS Site Config'!$A$3:$AQ$51,20,FALSE)=2)
                      ),
                              1,0),0)</f>
        <v>0</v>
      </c>
      <c r="AW6" s="131">
        <f>IF(VLOOKUP(AW$2,'TIS Site Config'!$A$4:$AQ$51,3,FALSE)&lt;&gt;"Soft",
          IF(
             AND(VLOOKUP(AW$2,'TIS Site Config'!$A$3:$AQ$51,6,FALSE)="Non-heated",
                        OR(VLOOKUP(AW$2,'TIS Site Config'!$A$3:$AQ$51,19,FALSE)=2,
                                VLOOKUP(AW$2,'TIS Site Config'!$A$3:$AQ$51,20,FALSE)=2)
                      ),
                              1,0),0)</f>
        <v>0</v>
      </c>
      <c r="AX6" s="160">
        <f>IF(VLOOKUP(AX$2,'TIS Site Config'!$A$4:$AQ$51,3,FALSE)&lt;&gt;"Soft",
          IF(
             AND(VLOOKUP(AX$2,'TIS Site Config'!$A$3:$AQ$51,6,FALSE)="Non-heated",
                        OR(VLOOKUP(AX$2,'TIS Site Config'!$A$3:$AQ$51,19,FALSE)=2,
                                VLOOKUP(AX$2,'TIS Site Config'!$A$3:$AQ$51,20,FALSE)=2)
                      ),
                              1,0),0)</f>
        <v>0</v>
      </c>
      <c r="AY6" s="126">
        <f>IF(VLOOKUP(AY$2,'TIS Site Config'!$A$4:$AQ$51,3,FALSE)&lt;&gt;"Soft",
          IF(
             AND(VLOOKUP(AY$2,'TIS Site Config'!$A$3:$AQ$51,6,FALSE)="Non-heated",
                        OR(VLOOKUP(AY$2,'TIS Site Config'!$A$3:$AQ$51,19,FALSE)=2,
                                VLOOKUP(AY$2,'TIS Site Config'!$A$3:$AQ$51,20,FALSE)=2)
                      ),
                              1,0),0)</f>
        <v>0</v>
      </c>
      <c r="AZ6" s="150">
        <f>IF(VLOOKUP(AZ$2,'TIS Site Config'!$A$4:$AQ$51,3,FALSE)&lt;&gt;"Soft",
          IF(
             AND(VLOOKUP(AZ$2,'TIS Site Config'!$A$3:$AQ$51,6,FALSE)="Non-heated",
                        OR(VLOOKUP(AZ$2,'TIS Site Config'!$A$3:$AQ$51,19,FALSE)=2,
                                VLOOKUP(AZ$2,'TIS Site Config'!$A$3:$AQ$51,20,FALSE)=2)
                      ),
                              1,0),0)</f>
        <v>0</v>
      </c>
      <c r="BA6" s="161">
        <f>IF(VLOOKUP(BA$2,'TIS Site Config'!$A$4:$AQ$51,3,FALSE)&lt;&gt;"Soft",
          IF(
             AND(VLOOKUP(BA$2,'TIS Site Config'!$A$3:$AQ$51,6,FALSE)="Non-heated",
                        OR(VLOOKUP(BA$2,'TIS Site Config'!$A$3:$AQ$51,19,FALSE)=2,
                                VLOOKUP(BA$2,'TIS Site Config'!$A$3:$AQ$51,20,FALSE)=2)
                      ),
                              1,0),0)</f>
        <v>0</v>
      </c>
      <c r="BB6" s="126">
        <f>IF(VLOOKUP(BB$2,'TIS Site Config'!$A$4:$AQ$51,3,FALSE)&lt;&gt;"Soft",
          IF(
             AND(VLOOKUP(BB$2,'TIS Site Config'!$A$3:$AQ$51,6,FALSE)="Non-heated",
                        OR(VLOOKUP(BB$2,'TIS Site Config'!$A$3:$AQ$51,19,FALSE)=2,
                                VLOOKUP(BB$2,'TIS Site Config'!$A$3:$AQ$51,20,FALSE)=2)
                      ),
                              1,0),0)</f>
        <v>0</v>
      </c>
      <c r="BC6" s="160">
        <f>IF(VLOOKUP(BC$2,'TIS Site Config'!$A$4:$AQ$51,3,FALSE)&lt;&gt;"Soft",
          IF(
             AND(VLOOKUP(BC$2,'TIS Site Config'!$A$3:$AQ$51,6,FALSE)="Non-heated",
                        OR(VLOOKUP(BC$2,'TIS Site Config'!$A$3:$AQ$51,19,FALSE)=2,
                                VLOOKUP(BC$2,'TIS Site Config'!$A$3:$AQ$51,20,FALSE)=2)
                      ),
                              1,0),0)</f>
        <v>0</v>
      </c>
      <c r="BD6" s="126">
        <f>IF(VLOOKUP(BD$2,'TIS Site Config'!$A$4:$AQ$51,3,FALSE)&lt;&gt;"Soft",
          IF(
             AND(VLOOKUP(BD$2,'TIS Site Config'!$A$3:$AQ$51,6,FALSE)="Non-heated",
                        OR(VLOOKUP(BD$2,'TIS Site Config'!$A$3:$AQ$51,19,FALSE)=2,
                                VLOOKUP(BD$2,'TIS Site Config'!$A$3:$AQ$51,20,FALSE)=2)
                      ),
                              1,0),0)</f>
        <v>0</v>
      </c>
      <c r="BE6" s="150">
        <f>IF(VLOOKUP(BE$2,'TIS Site Config'!$A$4:$AQ$51,3,FALSE)&lt;&gt;"Soft",
          IF(
             AND(VLOOKUP(BE$2,'TIS Site Config'!$A$3:$AQ$51,6,FALSE)="Non-heated",
                        OR(VLOOKUP(BE$2,'TIS Site Config'!$A$3:$AQ$51,19,FALSE)=2,
                                VLOOKUP(BE$2,'TIS Site Config'!$A$3:$AQ$51,20,FALSE)=2)
                      ),
                              1,0),0)</f>
        <v>0</v>
      </c>
      <c r="BF6" s="160">
        <f>IF(VLOOKUP(BF$2,'TIS Site Config'!$A$4:$AQ$51,3,FALSE)&lt;&gt;"Soft",
          IF(
             AND(VLOOKUP(BF$2,'TIS Site Config'!$A$3:$AQ$51,6,FALSE)="Non-heated",
                        OR(VLOOKUP(BF$2,'TIS Site Config'!$A$3:$AQ$51,19,FALSE)=2,
                                VLOOKUP(BF$2,'TIS Site Config'!$A$3:$AQ$51,20,FALSE)=2)
                      ),
                              1,0),0)</f>
        <v>0</v>
      </c>
      <c r="BG6" s="198">
        <f>IF(VLOOKUP(BG$2,'TIS Site Config'!$A$4:$AQ$51,3,FALSE)&lt;&gt;"Soft",
          IF(
             AND(VLOOKUP(BG$2,'TIS Site Config'!$A$3:$AQ$51,6,FALSE)="Non-heated",
                        OR(VLOOKUP(BG$2,'TIS Site Config'!$A$3:$AQ$51,19,FALSE)=2,
                                VLOOKUP(BG$2,'TIS Site Config'!$A$3:$AQ$51,20,FALSE)=2)
                      ),
                              1,0),0)</f>
        <v>1</v>
      </c>
      <c r="BH6" s="1074">
        <f>IF(VLOOKUP(BH$2,'TIS Site Config'!$A$4:$AQ$51,3,FALSE)&lt;&gt;"Soft",
          IF(
             AND(VLOOKUP(BH$2,'TIS Site Config'!$A$3:$AQ$51,6,FALSE)="Non-heated",
                        OR(VLOOKUP(BH$2,'TIS Site Config'!$A$3:$AQ$51,19,FALSE)=2,
                                VLOOKUP(BH$2,'TIS Site Config'!$A$3:$AQ$51,20,FALSE)=2)
                      ),
                              1,0),0)</f>
        <v>0</v>
      </c>
      <c r="BK6" s="3">
        <v>9</v>
      </c>
      <c r="BL6" s="950" t="b">
        <f t="shared" si="0"/>
        <v>0</v>
      </c>
      <c r="BO6" s="950"/>
    </row>
    <row r="7" spans="1:67" ht="15.75" thickBot="1" x14ac:dyDescent="0.3">
      <c r="A7" s="1366"/>
      <c r="B7" s="1362"/>
      <c r="C7" s="63" t="s">
        <v>201</v>
      </c>
      <c r="D7" s="58">
        <v>1</v>
      </c>
      <c r="E7" s="110" t="s">
        <v>286</v>
      </c>
      <c r="F7" s="58">
        <f t="shared" si="1"/>
        <v>29</v>
      </c>
      <c r="G7" s="453">
        <v>2</v>
      </c>
      <c r="H7" s="454"/>
      <c r="I7" s="454"/>
      <c r="J7" s="454"/>
      <c r="K7" s="455"/>
      <c r="L7" s="492"/>
      <c r="M7" s="982">
        <f>IF(VLOOKUP(M$2,'TIS Site Config'!$A$4:$AQ$51,3,FALSE)&lt;&gt;"Soft",
          IF(
             AND(OR(VLOOKUP(M$2,'TIS Site Config'!$A$3:$AQ$51,6,FALSE)="Heated",
                                VLOOKUP(M$2,'TIS Site Config'!$A$3:$AQ$51,6,FALSE)="Extreme Heated"),
                        OR(VLOOKUP(M$2,'TIS Site Config'!$A$3:$AQ$51,19,FALSE)=2,
                                VLOOKUP(M$2,'TIS Site Config'!$A$3:$AQ$51,20,FALSE)=2)
                      ),
                              1,0),0)</f>
        <v>1</v>
      </c>
      <c r="N7" s="169">
        <f>IF(VLOOKUP(N$2,'TIS Site Config'!$A$4:$AQ$51,3,FALSE)&lt;&gt;"Soft",
          IF(
             AND(OR(VLOOKUP(N$2,'TIS Site Config'!$A$3:$AQ$51,6,FALSE)="Heated",
                                VLOOKUP(N$2,'TIS Site Config'!$A$3:$AQ$51,6,FALSE)="Extreme Heated"),
                        OR(VLOOKUP(N$2,'TIS Site Config'!$A$3:$AQ$51,19,FALSE)=2,
                                VLOOKUP(N$2,'TIS Site Config'!$A$3:$AQ$51,20,FALSE)=2)
                      ),
                              1,0),0)</f>
        <v>0</v>
      </c>
      <c r="O7" s="981">
        <f>IF(VLOOKUP(O$2,'TIS Site Config'!$A$4:$AQ$51,3,FALSE)&lt;&gt;"Soft",
          IF(
             AND(OR(VLOOKUP(O$2,'TIS Site Config'!$A$3:$AQ$51,6,FALSE)="Heated",
                                VLOOKUP(O$2,'TIS Site Config'!$A$3:$AQ$51,6,FALSE)="Extreme Heated"),
                        OR(VLOOKUP(O$2,'TIS Site Config'!$A$3:$AQ$51,19,FALSE)=2,
                                VLOOKUP(O$2,'TIS Site Config'!$A$3:$AQ$51,20,FALSE)=2)
                      ),
                              1,0),0)</f>
        <v>1</v>
      </c>
      <c r="P7" s="166">
        <f>IF(VLOOKUP(P$2,'TIS Site Config'!$A$4:$AQ$51,3,FALSE)&lt;&gt;"Soft",
          IF(
             AND(OR(VLOOKUP(P$2,'TIS Site Config'!$A$3:$AQ$51,6,FALSE)="Heated",
                                VLOOKUP(P$2,'TIS Site Config'!$A$3:$AQ$51,6,FALSE)="Extreme Heated"),
                        OR(VLOOKUP(P$2,'TIS Site Config'!$A$3:$AQ$51,19,FALSE)=2,
                                VLOOKUP(P$2,'TIS Site Config'!$A$3:$AQ$51,20,FALSE)=2)
                      ),
                              1,0),0)</f>
        <v>1</v>
      </c>
      <c r="Q7" s="167">
        <f>IF(VLOOKUP(Q$2,'TIS Site Config'!$A$4:$AQ$51,3,FALSE)&lt;&gt;"Soft",
          IF(
             AND(OR(VLOOKUP(Q$2,'TIS Site Config'!$A$3:$AQ$51,6,FALSE)="Heated",
                                VLOOKUP(Q$2,'TIS Site Config'!$A$3:$AQ$51,6,FALSE)="Extreme Heated"),
                        OR(VLOOKUP(Q$2,'TIS Site Config'!$A$3:$AQ$51,19,FALSE)=2,
                                VLOOKUP(Q$2,'TIS Site Config'!$A$3:$AQ$51,20,FALSE)=2)
                      ),
                              1,0),0)</f>
        <v>1</v>
      </c>
      <c r="R7" s="127">
        <f>IF(VLOOKUP(R$2,'TIS Site Config'!$A$4:$AQ$51,3,FALSE)&lt;&gt;"Soft",
          IF(
             AND(OR(VLOOKUP(R$2,'TIS Site Config'!$A$3:$AQ$51,6,FALSE)="Heated",
                                VLOOKUP(R$2,'TIS Site Config'!$A$3:$AQ$51,6,FALSE)="Extreme Heated"),
                        OR(VLOOKUP(R$2,'TIS Site Config'!$A$3:$AQ$51,19,FALSE)=2,
                                VLOOKUP(R$2,'TIS Site Config'!$A$3:$AQ$51,20,FALSE)=2)
                      ),
                              1,0),0)</f>
        <v>0</v>
      </c>
      <c r="S7" s="166">
        <f>IF(VLOOKUP(S$2,'TIS Site Config'!$A$4:$AQ$51,3,FALSE)&lt;&gt;"Soft",
          IF(
             AND(OR(VLOOKUP(S$2,'TIS Site Config'!$A$3:$AQ$51,6,FALSE)="Heated",
                                VLOOKUP(S$2,'TIS Site Config'!$A$3:$AQ$51,6,FALSE)="Extreme Heated"),
                        OR(VLOOKUP(S$2,'TIS Site Config'!$A$3:$AQ$51,19,FALSE)=2,
                                VLOOKUP(S$2,'TIS Site Config'!$A$3:$AQ$51,20,FALSE)=2)
                      ),
                              1,0),0)</f>
        <v>0</v>
      </c>
      <c r="T7" s="167">
        <f>IF(VLOOKUP(T$2,'TIS Site Config'!$A$4:$AQ$51,3,FALSE)&lt;&gt;"Soft",
          IF(
             AND(OR(VLOOKUP(T$2,'TIS Site Config'!$A$3:$AQ$51,6,FALSE)="Heated",
                                VLOOKUP(T$2,'TIS Site Config'!$A$3:$AQ$51,6,FALSE)="Extreme Heated"),
                        OR(VLOOKUP(T$2,'TIS Site Config'!$A$3:$AQ$51,19,FALSE)=2,
                                VLOOKUP(T$2,'TIS Site Config'!$A$3:$AQ$51,20,FALSE)=2)
                      ),
                              1,0),0)</f>
        <v>0</v>
      </c>
      <c r="U7" s="127">
        <f>IF(VLOOKUP(U$2,'TIS Site Config'!$A$4:$AQ$51,3,FALSE)&lt;&gt;"Soft",
          IF(
             AND(OR(VLOOKUP(U$2,'TIS Site Config'!$A$3:$AQ$51,6,FALSE)="Heated",
                                VLOOKUP(U$2,'TIS Site Config'!$A$3:$AQ$51,6,FALSE)="Extreme Heated"),
                        OR(VLOOKUP(U$2,'TIS Site Config'!$A$3:$AQ$51,19,FALSE)=2,
                                VLOOKUP(U$2,'TIS Site Config'!$A$3:$AQ$51,20,FALSE)=2)
                      ),
                              1,0),0)</f>
        <v>0</v>
      </c>
      <c r="V7" s="167">
        <f>IF(VLOOKUP(V$2,'TIS Site Config'!$A$4:$AQ$51,3,FALSE)&lt;&gt;"Soft",
          IF(
             AND(OR(VLOOKUP(V$2,'TIS Site Config'!$A$3:$AQ$51,6,FALSE)="Heated",
                                VLOOKUP(V$2,'TIS Site Config'!$A$3:$AQ$51,6,FALSE)="Extreme Heated"),
                        OR(VLOOKUP(V$2,'TIS Site Config'!$A$3:$AQ$51,19,FALSE)=2,
                                VLOOKUP(V$2,'TIS Site Config'!$A$3:$AQ$51,20,FALSE)=2)
                      ),
                              1,0),0)</f>
        <v>0</v>
      </c>
      <c r="W7" s="170">
        <f>IF(VLOOKUP(W$2,'TIS Site Config'!$A$4:$AQ$51,3,FALSE)&lt;&gt;"Soft",
          IF(
             AND(OR(VLOOKUP(W$2,'TIS Site Config'!$A$3:$AQ$51,6,FALSE)="Heated",
                                VLOOKUP(W$2,'TIS Site Config'!$A$3:$AQ$51,6,FALSE)="Extreme Heated"),
                        OR(VLOOKUP(W$2,'TIS Site Config'!$A$3:$AQ$51,19,FALSE)=2,
                                VLOOKUP(W$2,'TIS Site Config'!$A$3:$AQ$51,20,FALSE)=2)
                      ),
                              1,0),0)</f>
        <v>0</v>
      </c>
      <c r="X7" s="172">
        <f>IF(VLOOKUP(X$2,'TIS Site Config'!$A$4:$AQ$51,3,FALSE)&lt;&gt;"Soft",
          IF(
             AND(OR(VLOOKUP(X$2,'TIS Site Config'!$A$3:$AQ$51,6,FALSE)="Heated",
                                VLOOKUP(X$2,'TIS Site Config'!$A$3:$AQ$51,6,FALSE)="Extreme Heated"),
                        OR(VLOOKUP(X$2,'TIS Site Config'!$A$3:$AQ$51,19,FALSE)=2,
                                VLOOKUP(X$2,'TIS Site Config'!$A$3:$AQ$51,20,FALSE)=2)
                      ),
                              1,0),0)</f>
        <v>1</v>
      </c>
      <c r="Y7" s="169">
        <f>IF(VLOOKUP(Y$2,'TIS Site Config'!$A$4:$AQ$51,3,FALSE)&lt;&gt;"Soft",
          IF(
             AND(OR(VLOOKUP(Y$2,'TIS Site Config'!$A$3:$AQ$51,6,FALSE)="Heated",
                                VLOOKUP(Y$2,'TIS Site Config'!$A$3:$AQ$51,6,FALSE)="Extreme Heated"),
                        OR(VLOOKUP(Y$2,'TIS Site Config'!$A$3:$AQ$51,19,FALSE)=2,
                                VLOOKUP(Y$2,'TIS Site Config'!$A$3:$AQ$51,20,FALSE)=2)
                      ),
                              1,0),0)</f>
        <v>0</v>
      </c>
      <c r="Z7" s="127">
        <f>IF(VLOOKUP(Z$2,'TIS Site Config'!$A$4:$AQ$51,3,FALSE)&lt;&gt;"Soft",
          IF(
             AND(OR(VLOOKUP(Z$2,'TIS Site Config'!$A$3:$AQ$51,6,FALSE)="Heated",
                                VLOOKUP(Z$2,'TIS Site Config'!$A$3:$AQ$51,6,FALSE)="Extreme Heated"),
                        OR(VLOOKUP(Z$2,'TIS Site Config'!$A$3:$AQ$51,19,FALSE)=2,
                                VLOOKUP(Z$2,'TIS Site Config'!$A$3:$AQ$51,20,FALSE)=2)
                      ),
                              1,0),0)</f>
        <v>1</v>
      </c>
      <c r="AA7" s="171">
        <f>IF(VLOOKUP(AA$2,'TIS Site Config'!$A$4:$AQ$51,3,FALSE)&lt;&gt;"Soft",
          IF(
             AND(OR(VLOOKUP(AA$2,'TIS Site Config'!$A$3:$AQ$51,6,FALSE)="Heated",
                                VLOOKUP(AA$2,'TIS Site Config'!$A$3:$AQ$51,6,FALSE)="Extreme Heated"),
                        OR(VLOOKUP(AA$2,'TIS Site Config'!$A$3:$AQ$51,19,FALSE)=2,
                                VLOOKUP(AA$2,'TIS Site Config'!$A$3:$AQ$51,20,FALSE)=2)
                      ),
                              1,0),0)</f>
        <v>0</v>
      </c>
      <c r="AB7" s="167">
        <f>IF(VLOOKUP(AB$2,'TIS Site Config'!$A$4:$AQ$51,3,FALSE)&lt;&gt;"Soft",
          IF(
             AND(OR(VLOOKUP(AB$2,'TIS Site Config'!$A$3:$AQ$51,6,FALSE)="Heated",
                                VLOOKUP(AB$2,'TIS Site Config'!$A$3:$AQ$51,6,FALSE)="Extreme Heated"),
                        OR(VLOOKUP(AB$2,'TIS Site Config'!$A$3:$AQ$51,19,FALSE)=2,
                                VLOOKUP(AB$2,'TIS Site Config'!$A$3:$AQ$51,20,FALSE)=2)
                      ),
                              1,0),0)</f>
        <v>1</v>
      </c>
      <c r="AC7" s="171">
        <f>IF(VLOOKUP(AC$2,'TIS Site Config'!$A$4:$AQ$51,3,FALSE)&lt;&gt;"Soft",
          IF(
             AND(OR(VLOOKUP(AC$2,'TIS Site Config'!$A$3:$AQ$51,6,FALSE)="Heated",
                                VLOOKUP(AC$2,'TIS Site Config'!$A$3:$AQ$51,6,FALSE)="Extreme Heated"),
                        OR(VLOOKUP(AC$2,'TIS Site Config'!$A$3:$AQ$51,19,FALSE)=2,
                                VLOOKUP(AC$2,'TIS Site Config'!$A$3:$AQ$51,20,FALSE)=2)
                      ),
                              1,0),0)</f>
        <v>1</v>
      </c>
      <c r="AD7" s="168">
        <f>IF(VLOOKUP(AD$2,'TIS Site Config'!$A$4:$AQ$51,3,FALSE)&lt;&gt;"Soft",
          IF(
             AND(OR(VLOOKUP(AD$2,'TIS Site Config'!$A$3:$AQ$51,6,FALSE)="Heated",
                                VLOOKUP(AD$2,'TIS Site Config'!$A$3:$AQ$51,6,FALSE)="Extreme Heated"),
                        OR(VLOOKUP(AD$2,'TIS Site Config'!$A$3:$AQ$51,19,FALSE)=2,
                                VLOOKUP(AD$2,'TIS Site Config'!$A$3:$AQ$51,20,FALSE)=2)
                      ),
                              1,0),0)</f>
        <v>1</v>
      </c>
      <c r="AE7" s="168">
        <f>IF(VLOOKUP(AE$2,'TIS Site Config'!$A$4:$AQ$51,3,FALSE)&lt;&gt;"Soft",
          IF(
             AND(OR(VLOOKUP(AE$2,'TIS Site Config'!$A$3:$AQ$51,6,FALSE)="Heated",
                                VLOOKUP(AE$2,'TIS Site Config'!$A$3:$AQ$51,6,FALSE)="Extreme Heated"),
                        OR(VLOOKUP(AE$2,'TIS Site Config'!$A$3:$AQ$51,19,FALSE)=2,
                                VLOOKUP(AE$2,'TIS Site Config'!$A$3:$AQ$51,20,FALSE)=2)
                      ),
                              1,0),0)</f>
        <v>1</v>
      </c>
      <c r="AF7" s="993">
        <f>IF(VLOOKUP(AF$2,'TIS Site Config'!$A$4:$AQ$51,3,FALSE)&lt;&gt;"Soft",
          IF(
             AND(OR(VLOOKUP(AF$2,'TIS Site Config'!$A$3:$AQ$51,6,FALSE)="Heated",
                                VLOOKUP(AF$2,'TIS Site Config'!$A$3:$AQ$51,6,FALSE)="Extreme Heated"),
                        OR(VLOOKUP(AF$2,'TIS Site Config'!$A$3:$AQ$51,19,FALSE)=2,
                                VLOOKUP(AF$2,'TIS Site Config'!$A$3:$AQ$51,20,FALSE)=2)
                      ),
                              1,0),0)</f>
        <v>0</v>
      </c>
      <c r="AG7" s="166">
        <f>IF(VLOOKUP(AG$2,'TIS Site Config'!$A$4:$AQ$51,3,FALSE)&lt;&gt;"Soft",
          IF(
             AND(OR(VLOOKUP(AG$2,'TIS Site Config'!$A$3:$AQ$51,6,FALSE)="Heated",
                                VLOOKUP(AG$2,'TIS Site Config'!$A$3:$AQ$51,6,FALSE)="Extreme Heated"),
                        OR(VLOOKUP(AG$2,'TIS Site Config'!$A$3:$AQ$51,19,FALSE)=2,
                                VLOOKUP(AG$2,'TIS Site Config'!$A$3:$AQ$51,20,FALSE)=2)
                      ),
                              1,0),0)</f>
        <v>0</v>
      </c>
      <c r="AH7" s="167">
        <f>IF(VLOOKUP(AH$2,'TIS Site Config'!$A$4:$AQ$51,3,FALSE)&lt;&gt;"Soft",
          IF(
             AND(OR(VLOOKUP(AH$2,'TIS Site Config'!$A$3:$AQ$51,6,FALSE)="Heated",
                                VLOOKUP(AH$2,'TIS Site Config'!$A$3:$AQ$51,6,FALSE)="Extreme Heated"),
                        OR(VLOOKUP(AH$2,'TIS Site Config'!$A$3:$AQ$51,19,FALSE)=2,
                                VLOOKUP(AH$2,'TIS Site Config'!$A$3:$AQ$51,20,FALSE)=2)
                      ),
                              1,0),0)</f>
        <v>0</v>
      </c>
      <c r="AI7" s="127">
        <f>IF(VLOOKUP(AI$2,'TIS Site Config'!$A$4:$AQ$51,3,FALSE)&lt;&gt;"Soft",
          IF(
             AND(OR(VLOOKUP(AI$2,'TIS Site Config'!$A$3:$AQ$51,6,FALSE)="Heated",
                                VLOOKUP(AI$2,'TIS Site Config'!$A$3:$AQ$51,6,FALSE)="Extreme Heated"),
                        OR(VLOOKUP(AI$2,'TIS Site Config'!$A$3:$AQ$51,19,FALSE)=2,
                                VLOOKUP(AI$2,'TIS Site Config'!$A$3:$AQ$51,20,FALSE)=2)
                      ),
                              1,0),0)</f>
        <v>1</v>
      </c>
      <c r="AJ7" s="166">
        <f>IF(VLOOKUP(AJ$2,'TIS Site Config'!$A$4:$AQ$51,3,FALSE)&lt;&gt;"Soft",
          IF(
             AND(OR(VLOOKUP(AJ$2,'TIS Site Config'!$A$3:$AQ$51,6,FALSE)="Heated",
                                VLOOKUP(AJ$2,'TIS Site Config'!$A$3:$AQ$51,6,FALSE)="Extreme Heated"),
                        OR(VLOOKUP(AJ$2,'TIS Site Config'!$A$3:$AQ$51,19,FALSE)=2,
                                VLOOKUP(AJ$2,'TIS Site Config'!$A$3:$AQ$51,20,FALSE)=2)
                      ),
                              1,0),0)</f>
        <v>1</v>
      </c>
      <c r="AK7" s="167">
        <f>IF(VLOOKUP(AK$2,'TIS Site Config'!$A$4:$AQ$51,3,FALSE)&lt;&gt;"Soft",
          IF(
             AND(OR(VLOOKUP(AK$2,'TIS Site Config'!$A$3:$AQ$51,6,FALSE)="Heated",
                                VLOOKUP(AK$2,'TIS Site Config'!$A$3:$AQ$51,6,FALSE)="Extreme Heated"),
                        OR(VLOOKUP(AK$2,'TIS Site Config'!$A$3:$AQ$51,19,FALSE)=2,
                                VLOOKUP(AK$2,'TIS Site Config'!$A$3:$AQ$51,20,FALSE)=2)
                      ),
                              1,0),0)</f>
        <v>1</v>
      </c>
      <c r="AL7" s="127">
        <f>IF(VLOOKUP(AL$2,'TIS Site Config'!$A$4:$AQ$51,3,FALSE)&lt;&gt;"Soft",
          IF(
             AND(OR(VLOOKUP(AL$2,'TIS Site Config'!$A$3:$AQ$51,6,FALSE)="Heated",
                                VLOOKUP(AL$2,'TIS Site Config'!$A$3:$AQ$51,6,FALSE)="Extreme Heated"),
                        OR(VLOOKUP(AL$2,'TIS Site Config'!$A$3:$AQ$51,19,FALSE)=2,
                                VLOOKUP(AL$2,'TIS Site Config'!$A$3:$AQ$51,20,FALSE)=2)
                      ),
                              1,0),0)</f>
        <v>1</v>
      </c>
      <c r="AM7" s="166">
        <f>IF(VLOOKUP(AM$2,'TIS Site Config'!$A$4:$AQ$51,3,FALSE)&lt;&gt;"Soft",
          IF(
             AND(OR(VLOOKUP(AM$2,'TIS Site Config'!$A$3:$AQ$51,6,FALSE)="Heated",
                                VLOOKUP(AM$2,'TIS Site Config'!$A$3:$AQ$51,6,FALSE)="Extreme Heated"),
                        OR(VLOOKUP(AM$2,'TIS Site Config'!$A$3:$AQ$51,19,FALSE)=2,
                                VLOOKUP(AM$2,'TIS Site Config'!$A$3:$AQ$51,20,FALSE)=2)
                      ),
                              1,0),0)</f>
        <v>1</v>
      </c>
      <c r="AN7" s="167">
        <f>IF(VLOOKUP(AN$2,'TIS Site Config'!$A$4:$AQ$51,3,FALSE)&lt;&gt;"Soft",
          IF(
             AND(OR(VLOOKUP(AN$2,'TIS Site Config'!$A$3:$AQ$51,6,FALSE)="Heated",
                                VLOOKUP(AN$2,'TIS Site Config'!$A$3:$AQ$51,6,FALSE)="Extreme Heated"),
                        OR(VLOOKUP(AN$2,'TIS Site Config'!$A$3:$AQ$51,19,FALSE)=2,
                                VLOOKUP(AN$2,'TIS Site Config'!$A$3:$AQ$51,20,FALSE)=2)
                      ),
                              1,0),0)</f>
        <v>1</v>
      </c>
      <c r="AO7" s="127">
        <f>IF(VLOOKUP(AO$2,'TIS Site Config'!$A$4:$AQ$51,3,FALSE)&lt;&gt;"Soft",
          IF(
             AND(OR(VLOOKUP(AO$2,'TIS Site Config'!$A$3:$AQ$51,6,FALSE)="Heated",
                                VLOOKUP(AO$2,'TIS Site Config'!$A$3:$AQ$51,6,FALSE)="Extreme Heated"),
                        OR(VLOOKUP(AO$2,'TIS Site Config'!$A$3:$AQ$51,19,FALSE)=2,
                                VLOOKUP(AO$2,'TIS Site Config'!$A$3:$AQ$51,20,FALSE)=2)
                      ),
                              1,0),0)</f>
        <v>1</v>
      </c>
      <c r="AP7" s="166">
        <f>IF(VLOOKUP(AP$2,'TIS Site Config'!$A$4:$AQ$51,3,FALSE)&lt;&gt;"Soft",
          IF(
             AND(OR(VLOOKUP(AP$2,'TIS Site Config'!$A$3:$AQ$51,6,FALSE)="Heated",
                                VLOOKUP(AP$2,'TIS Site Config'!$A$3:$AQ$51,6,FALSE)="Extreme Heated"),
                        OR(VLOOKUP(AP$2,'TIS Site Config'!$A$3:$AQ$51,19,FALSE)=2,
                                VLOOKUP(AP$2,'TIS Site Config'!$A$3:$AQ$51,20,FALSE)=2)
                      ),
                              1,0),0)</f>
        <v>1</v>
      </c>
      <c r="AQ7" s="982">
        <f>IF(VLOOKUP(AQ$2,'TIS Site Config'!$A$4:$AQ$51,3,FALSE)&lt;&gt;"Soft",
          IF(
             AND(OR(VLOOKUP(AQ$2,'TIS Site Config'!$A$3:$AQ$51,6,FALSE)="Heated",
                                VLOOKUP(AQ$2,'TIS Site Config'!$A$3:$AQ$51,6,FALSE)="Extreme Heated"),
                        OR(VLOOKUP(AQ$2,'TIS Site Config'!$A$3:$AQ$51,19,FALSE)=2,
                                VLOOKUP(AQ$2,'TIS Site Config'!$A$3:$AQ$51,20,FALSE)=2)
                      ),
                              1,0),0)</f>
        <v>0</v>
      </c>
      <c r="AR7" s="127">
        <f>IF(VLOOKUP(AR$2,'TIS Site Config'!$A$4:$AQ$51,3,FALSE)&lt;&gt;"Soft",
          IF(
             AND(OR(VLOOKUP(AR$2,'TIS Site Config'!$A$3:$AQ$51,6,FALSE)="Heated",
                                VLOOKUP(AR$2,'TIS Site Config'!$A$3:$AQ$51,6,FALSE)="Extreme Heated"),
                        OR(VLOOKUP(AR$2,'TIS Site Config'!$A$3:$AQ$51,19,FALSE)=2,
                                VLOOKUP(AR$2,'TIS Site Config'!$A$3:$AQ$51,20,FALSE)=2)
                      ),
                              1,0),0)</f>
        <v>1</v>
      </c>
      <c r="AS7" s="166">
        <f>IF(VLOOKUP(AS$2,'TIS Site Config'!$A$4:$AQ$51,3,FALSE)&lt;&gt;"Soft",
          IF(
             AND(OR(VLOOKUP(AS$2,'TIS Site Config'!$A$3:$AQ$51,6,FALSE)="Heated",
                                VLOOKUP(AS$2,'TIS Site Config'!$A$3:$AQ$51,6,FALSE)="Extreme Heated"),
                        OR(VLOOKUP(AS$2,'TIS Site Config'!$A$3:$AQ$51,19,FALSE)=2,
                                VLOOKUP(AS$2,'TIS Site Config'!$A$3:$AQ$51,20,FALSE)=2)
                      ),
                              1,0),0)</f>
        <v>1</v>
      </c>
      <c r="AT7" s="127">
        <f>IF(VLOOKUP(AT$2,'TIS Site Config'!$A$4:$AQ$51,3,FALSE)&lt;&gt;"Soft",
          IF(
             AND(OR(VLOOKUP(AT$2,'TIS Site Config'!$A$3:$AQ$51,6,FALSE)="Heated",
                                VLOOKUP(AT$2,'TIS Site Config'!$A$3:$AQ$51,6,FALSE)="Extreme Heated"),
                        OR(VLOOKUP(AT$2,'TIS Site Config'!$A$3:$AQ$51,19,FALSE)=2,
                                VLOOKUP(AT$2,'TIS Site Config'!$A$3:$AQ$51,20,FALSE)=2)
                      ),
                              1,0),0)</f>
        <v>0</v>
      </c>
      <c r="AU7" s="166">
        <f>IF(VLOOKUP(AU$2,'TIS Site Config'!$A$4:$AQ$51,3,FALSE)&lt;&gt;"Soft",
          IF(
             AND(OR(VLOOKUP(AU$2,'TIS Site Config'!$A$3:$AQ$51,6,FALSE)="Heated",
                                VLOOKUP(AU$2,'TIS Site Config'!$A$3:$AQ$51,6,FALSE)="Extreme Heated"),
                        OR(VLOOKUP(AU$2,'TIS Site Config'!$A$3:$AQ$51,19,FALSE)=2,
                                VLOOKUP(AU$2,'TIS Site Config'!$A$3:$AQ$51,20,FALSE)=2)
                      ),
                              1,0),0)</f>
        <v>0</v>
      </c>
      <c r="AV7" s="127">
        <f>IF(VLOOKUP(AV$2,'TIS Site Config'!$A$4:$AQ$51,3,FALSE)&lt;&gt;"Soft",
          IF(
             AND(OR(VLOOKUP(AV$2,'TIS Site Config'!$A$3:$AQ$51,6,FALSE)="Heated",
                                VLOOKUP(AV$2,'TIS Site Config'!$A$3:$AQ$51,6,FALSE)="Extreme Heated"),
                        OR(VLOOKUP(AV$2,'TIS Site Config'!$A$3:$AQ$51,19,FALSE)=2,
                                VLOOKUP(AV$2,'TIS Site Config'!$A$3:$AQ$51,20,FALSE)=2)
                      ),
                              1,0),0)</f>
        <v>1</v>
      </c>
      <c r="AW7" s="982">
        <f>IF(VLOOKUP(AW$2,'TIS Site Config'!$A$4:$AQ$51,3,FALSE)&lt;&gt;"Soft",
          IF(
             AND(OR(VLOOKUP(AW$2,'TIS Site Config'!$A$3:$AQ$51,6,FALSE)="Heated",
                                VLOOKUP(AW$2,'TIS Site Config'!$A$3:$AQ$51,6,FALSE)="Extreme Heated"),
                        OR(VLOOKUP(AW$2,'TIS Site Config'!$A$3:$AQ$51,19,FALSE)=2,
                                VLOOKUP(AW$2,'TIS Site Config'!$A$3:$AQ$51,20,FALSE)=2)
                      ),
                              1,0),0)</f>
        <v>0</v>
      </c>
      <c r="AX7" s="167">
        <f>IF(VLOOKUP(AX$2,'TIS Site Config'!$A$4:$AQ$51,3,FALSE)&lt;&gt;"Soft",
          IF(
             AND(OR(VLOOKUP(AX$2,'TIS Site Config'!$A$3:$AQ$51,6,FALSE)="Heated",
                                VLOOKUP(AX$2,'TIS Site Config'!$A$3:$AQ$51,6,FALSE)="Extreme Heated"),
                        OR(VLOOKUP(AX$2,'TIS Site Config'!$A$3:$AQ$51,19,FALSE)=2,
                                VLOOKUP(AX$2,'TIS Site Config'!$A$3:$AQ$51,20,FALSE)=2)
                      ),
                              1,0),0)</f>
        <v>1</v>
      </c>
      <c r="AY7" s="127">
        <f>IF(VLOOKUP(AY$2,'TIS Site Config'!$A$4:$AQ$51,3,FALSE)&lt;&gt;"Soft",
          IF(
             AND(OR(VLOOKUP(AY$2,'TIS Site Config'!$A$3:$AQ$51,6,FALSE)="Heated",
                                VLOOKUP(AY$2,'TIS Site Config'!$A$3:$AQ$51,6,FALSE)="Extreme Heated"),
                        OR(VLOOKUP(AY$2,'TIS Site Config'!$A$3:$AQ$51,19,FALSE)=2,
                                VLOOKUP(AY$2,'TIS Site Config'!$A$3:$AQ$51,20,FALSE)=2)
                      ),
                              1,0),0)</f>
        <v>1</v>
      </c>
      <c r="AZ7" s="166">
        <f>IF(VLOOKUP(AZ$2,'TIS Site Config'!$A$4:$AQ$51,3,FALSE)&lt;&gt;"Soft",
          IF(
             AND(OR(VLOOKUP(AZ$2,'TIS Site Config'!$A$3:$AQ$51,6,FALSE)="Heated",
                                VLOOKUP(AZ$2,'TIS Site Config'!$A$3:$AQ$51,6,FALSE)="Extreme Heated"),
                        OR(VLOOKUP(AZ$2,'TIS Site Config'!$A$3:$AQ$51,19,FALSE)=2,
                                VLOOKUP(AZ$2,'TIS Site Config'!$A$3:$AQ$51,20,FALSE)=2)
                      ),
                              1,0),0)</f>
        <v>1</v>
      </c>
      <c r="BA7" s="168">
        <f>IF(VLOOKUP(BA$2,'TIS Site Config'!$A$4:$AQ$51,3,FALSE)&lt;&gt;"Soft",
          IF(
             AND(OR(VLOOKUP(BA$2,'TIS Site Config'!$A$3:$AQ$51,6,FALSE)="Heated",
                                VLOOKUP(BA$2,'TIS Site Config'!$A$3:$AQ$51,6,FALSE)="Extreme Heated"),
                        OR(VLOOKUP(BA$2,'TIS Site Config'!$A$3:$AQ$51,19,FALSE)=2,
                                VLOOKUP(BA$2,'TIS Site Config'!$A$3:$AQ$51,20,FALSE)=2)
                      ),
                              1,0),0)</f>
        <v>0</v>
      </c>
      <c r="BB7" s="127">
        <f>IF(VLOOKUP(BB$2,'TIS Site Config'!$A$4:$AQ$51,3,FALSE)&lt;&gt;"Soft",
          IF(
             AND(OR(VLOOKUP(BB$2,'TIS Site Config'!$A$3:$AQ$51,6,FALSE)="Heated",
                                VLOOKUP(BB$2,'TIS Site Config'!$A$3:$AQ$51,6,FALSE)="Extreme Heated"),
                        OR(VLOOKUP(BB$2,'TIS Site Config'!$A$3:$AQ$51,19,FALSE)=2,
                                VLOOKUP(BB$2,'TIS Site Config'!$A$3:$AQ$51,20,FALSE)=2)
                      ),
                              1,0),0)</f>
        <v>1</v>
      </c>
      <c r="BC7" s="167">
        <f>IF(VLOOKUP(BC$2,'TIS Site Config'!$A$4:$AQ$51,3,FALSE)&lt;&gt;"Soft",
          IF(
             AND(OR(VLOOKUP(BC$2,'TIS Site Config'!$A$3:$AQ$51,6,FALSE)="Heated",
                                VLOOKUP(BC$2,'TIS Site Config'!$A$3:$AQ$51,6,FALSE)="Extreme Heated"),
                        OR(VLOOKUP(BC$2,'TIS Site Config'!$A$3:$AQ$51,19,FALSE)=2,
                                VLOOKUP(BC$2,'TIS Site Config'!$A$3:$AQ$51,20,FALSE)=2)
                      ),
                              1,0),0)</f>
        <v>1</v>
      </c>
      <c r="BD7" s="127">
        <f>IF(VLOOKUP(BD$2,'TIS Site Config'!$A$4:$AQ$51,3,FALSE)&lt;&gt;"Soft",
          IF(
             AND(OR(VLOOKUP(BD$2,'TIS Site Config'!$A$3:$AQ$51,6,FALSE)="Heated",
                                VLOOKUP(BD$2,'TIS Site Config'!$A$3:$AQ$51,6,FALSE)="Extreme Heated"),
                        OR(VLOOKUP(BD$2,'TIS Site Config'!$A$3:$AQ$51,19,FALSE)=2,
                                VLOOKUP(BD$2,'TIS Site Config'!$A$3:$AQ$51,20,FALSE)=2)
                      ),
                              1,0),0)</f>
        <v>1</v>
      </c>
      <c r="BE7" s="166">
        <f>IF(VLOOKUP(BE$2,'TIS Site Config'!$A$4:$AQ$51,3,FALSE)&lt;&gt;"Soft",
          IF(
             AND(OR(VLOOKUP(BE$2,'TIS Site Config'!$A$3:$AQ$51,6,FALSE)="Heated",
                                VLOOKUP(BE$2,'TIS Site Config'!$A$3:$AQ$51,6,FALSE)="Extreme Heated"),
                        OR(VLOOKUP(BE$2,'TIS Site Config'!$A$3:$AQ$51,19,FALSE)=2,
                                VLOOKUP(BE$2,'TIS Site Config'!$A$3:$AQ$51,20,FALSE)=2)
                      ),
                              1,0),0)</f>
        <v>1</v>
      </c>
      <c r="BF7" s="167">
        <f>IF(VLOOKUP(BF$2,'TIS Site Config'!$A$4:$AQ$51,3,FALSE)&lt;&gt;"Soft",
          IF(
             AND(OR(VLOOKUP(BF$2,'TIS Site Config'!$A$3:$AQ$51,6,FALSE)="Heated",
                                VLOOKUP(BF$2,'TIS Site Config'!$A$3:$AQ$51,6,FALSE)="Extreme Heated"),
                        OR(VLOOKUP(BF$2,'TIS Site Config'!$A$3:$AQ$51,19,FALSE)=2,
                                VLOOKUP(BF$2,'TIS Site Config'!$A$3:$AQ$51,20,FALSE)=2)
                      ),
                              1,0),0)</f>
        <v>1</v>
      </c>
      <c r="BG7" s="1027">
        <f>IF(VLOOKUP(BG$2,'TIS Site Config'!$A$4:$AQ$51,3,FALSE)&lt;&gt;"Soft",
          IF(
             AND(OR(VLOOKUP(BG$2,'TIS Site Config'!$A$3:$AQ$51,6,FALSE)="Heated",
                                VLOOKUP(BG$2,'TIS Site Config'!$A$3:$AQ$51,6,FALSE)="Extreme Heated"),
                        OR(VLOOKUP(BG$2,'TIS Site Config'!$A$3:$AQ$51,19,FALSE)=2,
                                VLOOKUP(BG$2,'TIS Site Config'!$A$3:$AQ$51,20,FALSE)=2)
                      ),
                              1,0),0)</f>
        <v>0</v>
      </c>
      <c r="BH7" s="1075">
        <f>IF(VLOOKUP(BH$2,'TIS Site Config'!$A$4:$AQ$51,3,FALSE)&lt;&gt;"Soft",
          IF(
             AND(OR(VLOOKUP(BH$2,'TIS Site Config'!$A$3:$AQ$51,6,FALSE)="Heated",
                                VLOOKUP(BH$2,'TIS Site Config'!$A$3:$AQ$51,6,FALSE)="Extreme Heated"),
                        OR(VLOOKUP(BH$2,'TIS Site Config'!$A$3:$AQ$51,19,FALSE)=2,
                                VLOOKUP(BH$2,'TIS Site Config'!$A$3:$AQ$51,20,FALSE)=2)
                      ),
                              1,0),0)</f>
        <v>1</v>
      </c>
      <c r="BK7" s="3">
        <v>34</v>
      </c>
      <c r="BL7" s="950" t="b">
        <f t="shared" si="0"/>
        <v>0</v>
      </c>
      <c r="BO7" s="950"/>
    </row>
    <row r="8" spans="1:67" ht="15.75" thickTop="1" x14ac:dyDescent="0.25">
      <c r="A8" s="1366"/>
      <c r="B8" s="1338" t="s">
        <v>177</v>
      </c>
      <c r="C8" s="64" t="s">
        <v>182</v>
      </c>
      <c r="D8" s="65">
        <v>1</v>
      </c>
      <c r="E8" s="111" t="s">
        <v>288</v>
      </c>
      <c r="F8" s="65">
        <f t="shared" si="1"/>
        <v>18</v>
      </c>
      <c r="G8" s="447"/>
      <c r="H8" s="448"/>
      <c r="I8" s="448"/>
      <c r="J8" s="448"/>
      <c r="K8" s="449"/>
      <c r="L8" s="490"/>
      <c r="M8" s="129">
        <f>IF(VLOOKUP(M$2,'TIS Site Config'!$A$4:$AQ$51,3,FALSE)&lt;&gt;"Soft",
          IF(
          AND(VLOOKUP(M$2,'TIS Site Config'!$A$3:$AQ$51,6,FALSE)="Non-heated",
             ( VLOOKUP(M$2,'TIS Site Config'!$A$3:$AQ$51,17,FALSE)
                                -IF(VLOOKUP(M$2,'TIS Site Config'!$A$3:$AQ$51,19,FALSE)&lt;=2,1,0)
                                -IF(VLOOKUP(M$2,'TIS Site Config'!$A$3:$AQ$51,20,FALSE)&lt;=2,1,0)
                                -2)&lt;&gt;0),
                             VLOOKUP(M$2,'TIS Site Config'!$A$3:$AQ$51,17,FALSE)
                                -IF(VLOOKUP(M$2,'TIS Site Config'!$A$3:$AQ$51,19,FALSE)&lt;=2,1,0)
                                -IF(VLOOKUP(M$2,'TIS Site Config'!$A$3:$AQ$51,20,FALSE)&lt;=2,1,0)
                                -2,0),0)</f>
        <v>0</v>
      </c>
      <c r="N8" s="292">
        <f>IF(VLOOKUP(N$2,'TIS Site Config'!$A$4:$AQ$51,3,FALSE)&lt;&gt;"Soft",
          IF(
          AND(VLOOKUP(N$2,'TIS Site Config'!$A$3:$AQ$51,6,FALSE)="Non-heated",
             ( VLOOKUP(N$2,'TIS Site Config'!$A$3:$AQ$51,17,FALSE)
                                -IF(VLOOKUP(N$2,'TIS Site Config'!$A$3:$AQ$51,19,FALSE)&lt;=2,1,0)
                                -IF(VLOOKUP(N$2,'TIS Site Config'!$A$3:$AQ$51,20,FALSE)&lt;=2,1,0)
                                -2)&lt;&gt;0),
                             VLOOKUP(N$2,'TIS Site Config'!$A$3:$AQ$51,17,FALSE)
                                -IF(VLOOKUP(N$2,'TIS Site Config'!$A$3:$AQ$51,19,FALSE)&lt;=2,1,0)
                                -IF(VLOOKUP(N$2,'TIS Site Config'!$A$3:$AQ$51,20,FALSE)&lt;=2,1,0)
                                -2,0),0)</f>
        <v>0</v>
      </c>
      <c r="O8" s="296">
        <f>IF(VLOOKUP(O$2,'TIS Site Config'!$A$4:$AQ$51,3,FALSE)&lt;&gt;"Soft",
          IF(
          AND(VLOOKUP(O$2,'TIS Site Config'!$A$3:$AQ$51,6,FALSE)="Non-heated",
             ( VLOOKUP(O$2,'TIS Site Config'!$A$3:$AQ$51,17,FALSE)
                                -IF(VLOOKUP(O$2,'TIS Site Config'!$A$3:$AQ$51,19,FALSE)&lt;=2,1,0)
                                -IF(VLOOKUP(O$2,'TIS Site Config'!$A$3:$AQ$51,20,FALSE)&lt;=2,1,0)
                                -2)&lt;&gt;0),
                             VLOOKUP(O$2,'TIS Site Config'!$A$3:$AQ$51,17,FALSE)
                                -IF(VLOOKUP(O$2,'TIS Site Config'!$A$3:$AQ$51,19,FALSE)&lt;=2,1,0)
                                -IF(VLOOKUP(O$2,'TIS Site Config'!$A$3:$AQ$51,20,FALSE)&lt;=2,1,0)
                                -2,0),0)</f>
        <v>0</v>
      </c>
      <c r="P8" s="291">
        <f>IF(VLOOKUP(P$2,'TIS Site Config'!$A$4:$AQ$51,3,FALSE)&lt;&gt;"Soft",
          IF(
          AND(VLOOKUP(P$2,'TIS Site Config'!$A$3:$AQ$51,6,FALSE)="Non-heated",
             ( VLOOKUP(P$2,'TIS Site Config'!$A$3:$AQ$51,17,FALSE)
                                -IF(VLOOKUP(P$2,'TIS Site Config'!$A$3:$AQ$51,19,FALSE)&lt;=2,1,0)
                                -IF(VLOOKUP(P$2,'TIS Site Config'!$A$3:$AQ$51,20,FALSE)&lt;=2,1,0)
                                -2)&lt;&gt;0),
                             VLOOKUP(P$2,'TIS Site Config'!$A$3:$AQ$51,17,FALSE)
                                -IF(VLOOKUP(P$2,'TIS Site Config'!$A$3:$AQ$51,19,FALSE)&lt;=2,1,0)
                                -IF(VLOOKUP(P$2,'TIS Site Config'!$A$3:$AQ$51,20,FALSE)&lt;=2,1,0)
                                -2,0),0)</f>
        <v>0</v>
      </c>
      <c r="Q8" s="292">
        <f>IF(VLOOKUP(Q$2,'TIS Site Config'!$A$4:$AQ$51,3,FALSE)&lt;&gt;"Soft",
          IF(
          AND(VLOOKUP(Q$2,'TIS Site Config'!$A$3:$AQ$51,6,FALSE)="Non-heated",
             ( VLOOKUP(Q$2,'TIS Site Config'!$A$3:$AQ$51,17,FALSE)
                                -IF(VLOOKUP(Q$2,'TIS Site Config'!$A$3:$AQ$51,19,FALSE)&lt;=2,1,0)
                                -IF(VLOOKUP(Q$2,'TIS Site Config'!$A$3:$AQ$51,20,FALSE)&lt;=2,1,0)
                                -2)&lt;&gt;0),
                             VLOOKUP(Q$2,'TIS Site Config'!$A$3:$AQ$51,17,FALSE)
                                -IF(VLOOKUP(Q$2,'TIS Site Config'!$A$3:$AQ$51,19,FALSE)&lt;=2,1,0)
                                -IF(VLOOKUP(Q$2,'TIS Site Config'!$A$3:$AQ$51,20,FALSE)&lt;=2,1,0)
                                -2,0),0)</f>
        <v>0</v>
      </c>
      <c r="R8" s="290">
        <f>IF(VLOOKUP(R$2,'TIS Site Config'!$A$4:$AQ$51,3,FALSE)&lt;&gt;"Soft",
          IF(
          AND(VLOOKUP(R$2,'TIS Site Config'!$A$3:$AQ$51,6,FALSE)="Non-heated",
             ( VLOOKUP(R$2,'TIS Site Config'!$A$3:$AQ$51,17,FALSE)
                                -IF(VLOOKUP(R$2,'TIS Site Config'!$A$3:$AQ$51,19,FALSE)&lt;=2,1,0)
                                -IF(VLOOKUP(R$2,'TIS Site Config'!$A$3:$AQ$51,20,FALSE)&lt;=2,1,0)
                                -2)&lt;&gt;0),
                             VLOOKUP(R$2,'TIS Site Config'!$A$3:$AQ$51,17,FALSE)
                                -IF(VLOOKUP(R$2,'TIS Site Config'!$A$3:$AQ$51,19,FALSE)&lt;=2,1,0)
                                -IF(VLOOKUP(R$2,'TIS Site Config'!$A$3:$AQ$51,20,FALSE)&lt;=2,1,0)
                                -2,0),0)</f>
        <v>3</v>
      </c>
      <c r="S8" s="291">
        <f>IF(VLOOKUP(S$2,'TIS Site Config'!$A$4:$AQ$51,3,FALSE)&lt;&gt;"Soft",
          IF(
          AND(VLOOKUP(S$2,'TIS Site Config'!$A$3:$AQ$51,6,FALSE)="Non-heated",
             ( VLOOKUP(S$2,'TIS Site Config'!$A$3:$AQ$51,17,FALSE)
                                -IF(VLOOKUP(S$2,'TIS Site Config'!$A$3:$AQ$51,19,FALSE)&lt;=2,1,0)
                                -IF(VLOOKUP(S$2,'TIS Site Config'!$A$3:$AQ$51,20,FALSE)&lt;=2,1,0)
                                -2)&lt;&gt;0),
                             VLOOKUP(S$2,'TIS Site Config'!$A$3:$AQ$51,17,FALSE)
                                -IF(VLOOKUP(S$2,'TIS Site Config'!$A$3:$AQ$51,19,FALSE)&lt;=2,1,0)
                                -IF(VLOOKUP(S$2,'TIS Site Config'!$A$3:$AQ$51,20,FALSE)&lt;=2,1,0)
                                -2,0),0)</f>
        <v>0</v>
      </c>
      <c r="T8" s="292">
        <f>IF(VLOOKUP(T$2,'TIS Site Config'!$A$4:$AQ$51,3,FALSE)&lt;&gt;"Soft",
          IF(
          AND(VLOOKUP(T$2,'TIS Site Config'!$A$3:$AQ$51,6,FALSE)="Non-heated",
             ( VLOOKUP(T$2,'TIS Site Config'!$A$3:$AQ$51,17,FALSE)
                                -IF(VLOOKUP(T$2,'TIS Site Config'!$A$3:$AQ$51,19,FALSE)&lt;=2,1,0)
                                -IF(VLOOKUP(T$2,'TIS Site Config'!$A$3:$AQ$51,20,FALSE)&lt;=2,1,0)
                                -2)&lt;&gt;0),
                             VLOOKUP(T$2,'TIS Site Config'!$A$3:$AQ$51,17,FALSE)
                                -IF(VLOOKUP(T$2,'TIS Site Config'!$A$3:$AQ$51,19,FALSE)&lt;=2,1,0)
                                -IF(VLOOKUP(T$2,'TIS Site Config'!$A$3:$AQ$51,20,FALSE)&lt;=2,1,0)
                                -2,0),0)</f>
        <v>3</v>
      </c>
      <c r="U8" s="290">
        <f>IF(VLOOKUP(U$2,'TIS Site Config'!$A$4:$AQ$51,3,FALSE)&lt;&gt;"Soft",
          IF(
          AND(VLOOKUP(U$2,'TIS Site Config'!$A$3:$AQ$51,6,FALSE)="Non-heated",
             ( VLOOKUP(U$2,'TIS Site Config'!$A$3:$AQ$51,17,FALSE)
                                -IF(VLOOKUP(U$2,'TIS Site Config'!$A$3:$AQ$51,19,FALSE)&lt;=2,1,0)
                                -IF(VLOOKUP(U$2,'TIS Site Config'!$A$3:$AQ$51,20,FALSE)&lt;=2,1,0)
                                -2)&lt;&gt;0),
                             VLOOKUP(U$2,'TIS Site Config'!$A$3:$AQ$51,17,FALSE)
                                -IF(VLOOKUP(U$2,'TIS Site Config'!$A$3:$AQ$51,19,FALSE)&lt;=2,1,0)
                                -IF(VLOOKUP(U$2,'TIS Site Config'!$A$3:$AQ$51,20,FALSE)&lt;=2,1,0)
                                -2,0),0)</f>
        <v>2</v>
      </c>
      <c r="V8" s="292">
        <f>IF(VLOOKUP(V$2,'TIS Site Config'!$A$4:$AQ$51,3,FALSE)&lt;&gt;"Soft",
          IF(
          AND(VLOOKUP(V$2,'TIS Site Config'!$A$3:$AQ$51,6,FALSE)="Non-heated",
             ( VLOOKUP(V$2,'TIS Site Config'!$A$3:$AQ$51,17,FALSE)
                                -IF(VLOOKUP(V$2,'TIS Site Config'!$A$3:$AQ$51,19,FALSE)&lt;=2,1,0)
                                -IF(VLOOKUP(V$2,'TIS Site Config'!$A$3:$AQ$51,20,FALSE)&lt;=2,1,0)
                                -2)&lt;&gt;0),
                             VLOOKUP(V$2,'TIS Site Config'!$A$3:$AQ$51,17,FALSE)
                                -IF(VLOOKUP(V$2,'TIS Site Config'!$A$3:$AQ$51,19,FALSE)&lt;=2,1,0)
                                -IF(VLOOKUP(V$2,'TIS Site Config'!$A$3:$AQ$51,20,FALSE)&lt;=2,1,0)
                                -2,0),0)</f>
        <v>0</v>
      </c>
      <c r="W8" s="294">
        <f>IF(VLOOKUP(W$2,'TIS Site Config'!$A$4:$AQ$51,3,FALSE)&lt;&gt;"Soft",
          IF(
          AND(VLOOKUP(W$2,'TIS Site Config'!$A$3:$AQ$51,6,FALSE)="Non-heated",
             ( VLOOKUP(W$2,'TIS Site Config'!$A$3:$AQ$51,17,FALSE)
                                -IF(VLOOKUP(W$2,'TIS Site Config'!$A$3:$AQ$51,19,FALSE)&lt;=2,1,0)
                                -IF(VLOOKUP(W$2,'TIS Site Config'!$A$3:$AQ$51,20,FALSE)&lt;=2,1,0)
                                -2)&lt;&gt;0),
                             VLOOKUP(W$2,'TIS Site Config'!$A$3:$AQ$51,17,FALSE)
                                -IF(VLOOKUP(W$2,'TIS Site Config'!$A$3:$AQ$51,19,FALSE)&lt;=2,1,0)
                                -IF(VLOOKUP(W$2,'TIS Site Config'!$A$3:$AQ$51,20,FALSE)&lt;=2,1,0)
                                -2,0),0)</f>
        <v>0</v>
      </c>
      <c r="X8" s="297">
        <f>IF(VLOOKUP(X$2,'TIS Site Config'!$A$4:$AQ$51,3,FALSE)&lt;&gt;"Soft",
          IF(
          AND(VLOOKUP(X$2,'TIS Site Config'!$A$3:$AQ$51,6,FALSE)="Non-heated",
             ( VLOOKUP(X$2,'TIS Site Config'!$A$3:$AQ$51,17,FALSE)
                                -IF(VLOOKUP(X$2,'TIS Site Config'!$A$3:$AQ$51,19,FALSE)&lt;=2,1,0)
                                -IF(VLOOKUP(X$2,'TIS Site Config'!$A$3:$AQ$51,20,FALSE)&lt;=2,1,0)
                                -2)&lt;&gt;0),
                             VLOOKUP(X$2,'TIS Site Config'!$A$3:$AQ$51,17,FALSE)
                                -IF(VLOOKUP(X$2,'TIS Site Config'!$A$3:$AQ$51,19,FALSE)&lt;=2,1,0)
                                -IF(VLOOKUP(X$2,'TIS Site Config'!$A$3:$AQ$51,20,FALSE)&lt;=2,1,0)
                                -2,0),0)</f>
        <v>0</v>
      </c>
      <c r="Y8" s="295">
        <f>IF(VLOOKUP(Y$2,'TIS Site Config'!$A$4:$AQ$51,3,FALSE)&lt;&gt;"Soft",
          IF(
          AND(VLOOKUP(Y$2,'TIS Site Config'!$A$3:$AQ$51,6,FALSE)="Non-heated",
             ( VLOOKUP(Y$2,'TIS Site Config'!$A$3:$AQ$51,17,FALSE)
                                -IF(VLOOKUP(Y$2,'TIS Site Config'!$A$3:$AQ$51,19,FALSE)&lt;=2,1,0)
                                -IF(VLOOKUP(Y$2,'TIS Site Config'!$A$3:$AQ$51,20,FALSE)&lt;=2,1,0)
                                -2)&lt;&gt;0),
                             VLOOKUP(Y$2,'TIS Site Config'!$A$3:$AQ$51,17,FALSE)
                                -IF(VLOOKUP(Y$2,'TIS Site Config'!$A$3:$AQ$51,19,FALSE)&lt;=2,1,0)
                                -IF(VLOOKUP(Y$2,'TIS Site Config'!$A$3:$AQ$51,20,FALSE)&lt;=2,1,0)
                                -2,0),0)</f>
        <v>0</v>
      </c>
      <c r="Z8" s="290">
        <f>IF(VLOOKUP(Z$2,'TIS Site Config'!$A$4:$AQ$51,3,FALSE)&lt;&gt;"Soft",
          IF(
          AND(VLOOKUP(Z$2,'TIS Site Config'!$A$3:$AQ$51,6,FALSE)="Non-heated",
             ( VLOOKUP(Z$2,'TIS Site Config'!$A$3:$AQ$51,17,FALSE)
                                -IF(VLOOKUP(Z$2,'TIS Site Config'!$A$3:$AQ$51,19,FALSE)&lt;=2,1,0)
                                -IF(VLOOKUP(Z$2,'TIS Site Config'!$A$3:$AQ$51,20,FALSE)&lt;=2,1,0)
                                -2)&lt;&gt;0),
                             VLOOKUP(Z$2,'TIS Site Config'!$A$3:$AQ$51,17,FALSE)
                                -IF(VLOOKUP(Z$2,'TIS Site Config'!$A$3:$AQ$51,19,FALSE)&lt;=2,1,0)
                                -IF(VLOOKUP(Z$2,'TIS Site Config'!$A$3:$AQ$51,20,FALSE)&lt;=2,1,0)
                                -2,0),0)</f>
        <v>0</v>
      </c>
      <c r="AA8" s="291">
        <f>IF(VLOOKUP(AA$2,'TIS Site Config'!$A$4:$AQ$51,3,FALSE)&lt;&gt;"Soft",
          IF(
          AND(VLOOKUP(AA$2,'TIS Site Config'!$A$3:$AQ$51,6,FALSE)="Non-heated",
             ( VLOOKUP(AA$2,'TIS Site Config'!$A$3:$AQ$51,17,FALSE)
                                -IF(VLOOKUP(AA$2,'TIS Site Config'!$A$3:$AQ$51,19,FALSE)&lt;=2,1,0)
                                -IF(VLOOKUP(AA$2,'TIS Site Config'!$A$3:$AQ$51,20,FALSE)&lt;=2,1,0)
                                -2)&lt;&gt;0),
                             VLOOKUP(AA$2,'TIS Site Config'!$A$3:$AQ$51,17,FALSE)
                                -IF(VLOOKUP(AA$2,'TIS Site Config'!$A$3:$AQ$51,19,FALSE)&lt;=2,1,0)
                                -IF(VLOOKUP(AA$2,'TIS Site Config'!$A$3:$AQ$51,20,FALSE)&lt;=2,1,0)
                                -2,0),0)</f>
        <v>0</v>
      </c>
      <c r="AB8" s="292">
        <f>IF(VLOOKUP(AB$2,'TIS Site Config'!$A$4:$AQ$51,3,FALSE)&lt;&gt;"Soft",
          IF(
          AND(VLOOKUP(AB$2,'TIS Site Config'!$A$3:$AQ$51,6,FALSE)="Non-heated",
             ( VLOOKUP(AB$2,'TIS Site Config'!$A$3:$AQ$51,17,FALSE)
                                -IF(VLOOKUP(AB$2,'TIS Site Config'!$A$3:$AQ$51,19,FALSE)&lt;=2,1,0)
                                -IF(VLOOKUP(AB$2,'TIS Site Config'!$A$3:$AQ$51,20,FALSE)&lt;=2,1,0)
                                -2)&lt;&gt;0),
                             VLOOKUP(AB$2,'TIS Site Config'!$A$3:$AQ$51,17,FALSE)
                                -IF(VLOOKUP(AB$2,'TIS Site Config'!$A$3:$AQ$51,19,FALSE)&lt;=2,1,0)
                                -IF(VLOOKUP(AB$2,'TIS Site Config'!$A$3:$AQ$51,20,FALSE)&lt;=2,1,0)
                                -2,0),0)</f>
        <v>0</v>
      </c>
      <c r="AC8" s="291">
        <f>IF(VLOOKUP(AC$2,'TIS Site Config'!$A$4:$AQ$51,3,FALSE)&lt;&gt;"Soft",
          IF(
          AND(VLOOKUP(AC$2,'TIS Site Config'!$A$3:$AQ$51,6,FALSE)="Non-heated",
             ( VLOOKUP(AC$2,'TIS Site Config'!$A$3:$AQ$51,17,FALSE)
                                -IF(VLOOKUP(AC$2,'TIS Site Config'!$A$3:$AQ$51,19,FALSE)&lt;=2,1,0)
                                -IF(VLOOKUP(AC$2,'TIS Site Config'!$A$3:$AQ$51,20,FALSE)&lt;=2,1,0)
                                -2)&lt;&gt;0),
                             VLOOKUP(AC$2,'TIS Site Config'!$A$3:$AQ$51,17,FALSE)
                                -IF(VLOOKUP(AC$2,'TIS Site Config'!$A$3:$AQ$51,19,FALSE)&lt;=2,1,0)
                                -IF(VLOOKUP(AC$2,'TIS Site Config'!$A$3:$AQ$51,20,FALSE)&lt;=2,1,0)
                                -2,0),0)</f>
        <v>0</v>
      </c>
      <c r="AD8" s="293">
        <f>IF(VLOOKUP(AD$2,'TIS Site Config'!$A$4:$AQ$51,3,FALSE)&lt;&gt;"Soft",
          IF(
          AND(VLOOKUP(AD$2,'TIS Site Config'!$A$3:$AQ$51,6,FALSE)="Non-heated",
             ( VLOOKUP(AD$2,'TIS Site Config'!$A$3:$AQ$51,17,FALSE)
                                -IF(VLOOKUP(AD$2,'TIS Site Config'!$A$3:$AQ$51,19,FALSE)&lt;=2,1,0)
                                -IF(VLOOKUP(AD$2,'TIS Site Config'!$A$3:$AQ$51,20,FALSE)&lt;=2,1,0)
                                -2)&lt;&gt;0),
                             VLOOKUP(AD$2,'TIS Site Config'!$A$3:$AQ$51,17,FALSE)
                                -IF(VLOOKUP(AD$2,'TIS Site Config'!$A$3:$AQ$51,19,FALSE)&lt;=2,1,0)
                                -IF(VLOOKUP(AD$2,'TIS Site Config'!$A$3:$AQ$51,20,FALSE)&lt;=2,1,0)
                                -2,0),0)</f>
        <v>0</v>
      </c>
      <c r="AE8" s="293">
        <f>IF(VLOOKUP(AE$2,'TIS Site Config'!$A$4:$AQ$51,3,FALSE)&lt;&gt;"Soft",
          IF(
          AND(VLOOKUP(AE$2,'TIS Site Config'!$A$3:$AQ$51,6,FALSE)="Non-heated",
             ( VLOOKUP(AE$2,'TIS Site Config'!$A$3:$AQ$51,17,FALSE)
                                -IF(VLOOKUP(AE$2,'TIS Site Config'!$A$3:$AQ$51,19,FALSE)&lt;=2,1,0)
                                -IF(VLOOKUP(AE$2,'TIS Site Config'!$A$3:$AQ$51,20,FALSE)&lt;=2,1,0)
                                -2)&lt;&gt;0),
                             VLOOKUP(AE$2,'TIS Site Config'!$A$3:$AQ$51,17,FALSE)
                                -IF(VLOOKUP(AE$2,'TIS Site Config'!$A$3:$AQ$51,19,FALSE)&lt;=2,1,0)
                                -IF(VLOOKUP(AE$2,'TIS Site Config'!$A$3:$AQ$51,20,FALSE)&lt;=2,1,0)
                                -2,0),0)</f>
        <v>0</v>
      </c>
      <c r="AF8" s="994">
        <f>IF(VLOOKUP(AF$2,'TIS Site Config'!$A$4:$AQ$51,3,FALSE)&lt;&gt;"Soft",
          IF(
          AND(VLOOKUP(AF$2,'TIS Site Config'!$A$3:$AQ$51,6,FALSE)="Non-heated",
             ( VLOOKUP(AF$2,'TIS Site Config'!$A$3:$AQ$51,17,FALSE)
                                -IF(VLOOKUP(AF$2,'TIS Site Config'!$A$3:$AQ$51,19,FALSE)&lt;=2,1,0)
                                -IF(VLOOKUP(AF$2,'TIS Site Config'!$A$3:$AQ$51,20,FALSE)&lt;=2,1,0)
                                -2)&lt;&gt;0),
                             VLOOKUP(AF$2,'TIS Site Config'!$A$3:$AQ$51,17,FALSE)
                                -IF(VLOOKUP(AF$2,'TIS Site Config'!$A$3:$AQ$51,19,FALSE)&lt;=2,1,0)
                                -IF(VLOOKUP(AF$2,'TIS Site Config'!$A$3:$AQ$51,20,FALSE)&lt;=2,1,0)
                                -2,0),0)</f>
        <v>2</v>
      </c>
      <c r="AG8" s="291">
        <f>IF(VLOOKUP(AG$2,'TIS Site Config'!$A$4:$AQ$51,3,FALSE)&lt;&gt;"Soft",
          IF(
          AND(VLOOKUP(AG$2,'TIS Site Config'!$A$3:$AQ$51,6,FALSE)="Non-heated",
             ( VLOOKUP(AG$2,'TIS Site Config'!$A$3:$AQ$51,17,FALSE)
                                -IF(VLOOKUP(AG$2,'TIS Site Config'!$A$3:$AQ$51,19,FALSE)&lt;=2,1,0)
                                -IF(VLOOKUP(AG$2,'TIS Site Config'!$A$3:$AQ$51,20,FALSE)&lt;=2,1,0)
                                -2)&lt;&gt;0),
                             VLOOKUP(AG$2,'TIS Site Config'!$A$3:$AQ$51,17,FALSE)
                                -IF(VLOOKUP(AG$2,'TIS Site Config'!$A$3:$AQ$51,19,FALSE)&lt;=2,1,0)
                                -IF(VLOOKUP(AG$2,'TIS Site Config'!$A$3:$AQ$51,20,FALSE)&lt;=2,1,0)
                                -2,0),0)</f>
        <v>3</v>
      </c>
      <c r="AH8" s="292">
        <f>IF(VLOOKUP(AH$2,'TIS Site Config'!$A$4:$AQ$51,3,FALSE)&lt;&gt;"Soft",
          IF(
          AND(VLOOKUP(AH$2,'TIS Site Config'!$A$3:$AQ$51,6,FALSE)="Non-heated",
             ( VLOOKUP(AH$2,'TIS Site Config'!$A$3:$AQ$51,17,FALSE)
                                -IF(VLOOKUP(AH$2,'TIS Site Config'!$A$3:$AQ$51,19,FALSE)&lt;=2,1,0)
                                -IF(VLOOKUP(AH$2,'TIS Site Config'!$A$3:$AQ$51,20,FALSE)&lt;=2,1,0)
                                -2)&lt;&gt;0),
                             VLOOKUP(AH$2,'TIS Site Config'!$A$3:$AQ$51,17,FALSE)
                                -IF(VLOOKUP(AH$2,'TIS Site Config'!$A$3:$AQ$51,19,FALSE)&lt;=2,1,0)
                                -IF(VLOOKUP(AH$2,'TIS Site Config'!$A$3:$AQ$51,20,FALSE)&lt;=2,1,0)
                                -2,0),0)</f>
        <v>3</v>
      </c>
      <c r="AI8" s="290">
        <f>IF(VLOOKUP(AI$2,'TIS Site Config'!$A$4:$AQ$51,3,FALSE)&lt;&gt;"Soft",
          IF(
          AND(VLOOKUP(AI$2,'TIS Site Config'!$A$3:$AQ$51,6,FALSE)="Non-heated",
             ( VLOOKUP(AI$2,'TIS Site Config'!$A$3:$AQ$51,17,FALSE)
                                -IF(VLOOKUP(AI$2,'TIS Site Config'!$A$3:$AQ$51,19,FALSE)&lt;=2,1,0)
                                -IF(VLOOKUP(AI$2,'TIS Site Config'!$A$3:$AQ$51,20,FALSE)&lt;=2,1,0)
                                -2)&lt;&gt;0),
                             VLOOKUP(AI$2,'TIS Site Config'!$A$3:$AQ$51,17,FALSE)
                                -IF(VLOOKUP(AI$2,'TIS Site Config'!$A$3:$AQ$51,19,FALSE)&lt;=2,1,0)
                                -IF(VLOOKUP(AI$2,'TIS Site Config'!$A$3:$AQ$51,20,FALSE)&lt;=2,1,0)
                                -2,0),0)</f>
        <v>0</v>
      </c>
      <c r="AJ8" s="291">
        <f>IF(VLOOKUP(AJ$2,'TIS Site Config'!$A$4:$AQ$51,3,FALSE)&lt;&gt;"Soft",
          IF(
          AND(VLOOKUP(AJ$2,'TIS Site Config'!$A$3:$AQ$51,6,FALSE)="Non-heated",
             ( VLOOKUP(AJ$2,'TIS Site Config'!$A$3:$AQ$51,17,FALSE)
                                -IF(VLOOKUP(AJ$2,'TIS Site Config'!$A$3:$AQ$51,19,FALSE)&lt;=2,1,0)
                                -IF(VLOOKUP(AJ$2,'TIS Site Config'!$A$3:$AQ$51,20,FALSE)&lt;=2,1,0)
                                -2)&lt;&gt;0),
                             VLOOKUP(AJ$2,'TIS Site Config'!$A$3:$AQ$51,17,FALSE)
                                -IF(VLOOKUP(AJ$2,'TIS Site Config'!$A$3:$AQ$51,19,FALSE)&lt;=2,1,0)
                                -IF(VLOOKUP(AJ$2,'TIS Site Config'!$A$3:$AQ$51,20,FALSE)&lt;=2,1,0)
                                -2,0),0)</f>
        <v>0</v>
      </c>
      <c r="AK8" s="292">
        <f>IF(VLOOKUP(AK$2,'TIS Site Config'!$A$4:$AQ$51,3,FALSE)&lt;&gt;"Soft",
          IF(
          AND(VLOOKUP(AK$2,'TIS Site Config'!$A$3:$AQ$51,6,FALSE)="Non-heated",
             ( VLOOKUP(AK$2,'TIS Site Config'!$A$3:$AQ$51,17,FALSE)
                                -IF(VLOOKUP(AK$2,'TIS Site Config'!$A$3:$AQ$51,19,FALSE)&lt;=2,1,0)
                                -IF(VLOOKUP(AK$2,'TIS Site Config'!$A$3:$AQ$51,20,FALSE)&lt;=2,1,0)
                                -2)&lt;&gt;0),
                             VLOOKUP(AK$2,'TIS Site Config'!$A$3:$AQ$51,17,FALSE)
                                -IF(VLOOKUP(AK$2,'TIS Site Config'!$A$3:$AQ$51,19,FALSE)&lt;=2,1,0)
                                -IF(VLOOKUP(AK$2,'TIS Site Config'!$A$3:$AQ$51,20,FALSE)&lt;=2,1,0)
                                -2,0),0)</f>
        <v>0</v>
      </c>
      <c r="AL8" s="290">
        <f>IF(VLOOKUP(AL$2,'TIS Site Config'!$A$4:$AQ$51,3,FALSE)&lt;&gt;"Soft",
          IF(
          AND(VLOOKUP(AL$2,'TIS Site Config'!$A$3:$AQ$51,6,FALSE)="Non-heated",
             ( VLOOKUP(AL$2,'TIS Site Config'!$A$3:$AQ$51,17,FALSE)
                                -IF(VLOOKUP(AL$2,'TIS Site Config'!$A$3:$AQ$51,19,FALSE)&lt;=2,1,0)
                                -IF(VLOOKUP(AL$2,'TIS Site Config'!$A$3:$AQ$51,20,FALSE)&lt;=2,1,0)
                                -2)&lt;&gt;0),
                             VLOOKUP(AL$2,'TIS Site Config'!$A$3:$AQ$51,17,FALSE)
                                -IF(VLOOKUP(AL$2,'TIS Site Config'!$A$3:$AQ$51,19,FALSE)&lt;=2,1,0)
                                -IF(VLOOKUP(AL$2,'TIS Site Config'!$A$3:$AQ$51,20,FALSE)&lt;=2,1,0)
                                -2,0),0)</f>
        <v>0</v>
      </c>
      <c r="AM8" s="291">
        <f>IF(VLOOKUP(AM$2,'TIS Site Config'!$A$4:$AQ$51,3,FALSE)&lt;&gt;"Soft",
          IF(
          AND(VLOOKUP(AM$2,'TIS Site Config'!$A$3:$AQ$51,6,FALSE)="Non-heated",
             ( VLOOKUP(AM$2,'TIS Site Config'!$A$3:$AQ$51,17,FALSE)
                                -IF(VLOOKUP(AM$2,'TIS Site Config'!$A$3:$AQ$51,19,FALSE)&lt;=2,1,0)
                                -IF(VLOOKUP(AM$2,'TIS Site Config'!$A$3:$AQ$51,20,FALSE)&lt;=2,1,0)
                                -2)&lt;&gt;0),
                             VLOOKUP(AM$2,'TIS Site Config'!$A$3:$AQ$51,17,FALSE)
                                -IF(VLOOKUP(AM$2,'TIS Site Config'!$A$3:$AQ$51,19,FALSE)&lt;=2,1,0)
                                -IF(VLOOKUP(AM$2,'TIS Site Config'!$A$3:$AQ$51,20,FALSE)&lt;=2,1,0)
                                -2,0),0)</f>
        <v>0</v>
      </c>
      <c r="AN8" s="292">
        <f>IF(VLOOKUP(AN$2,'TIS Site Config'!$A$4:$AQ$51,3,FALSE)&lt;&gt;"Soft",
          IF(
          AND(VLOOKUP(AN$2,'TIS Site Config'!$A$3:$AQ$51,6,FALSE)="Non-heated",
             ( VLOOKUP(AN$2,'TIS Site Config'!$A$3:$AQ$51,17,FALSE)
                                -IF(VLOOKUP(AN$2,'TIS Site Config'!$A$3:$AQ$51,19,FALSE)&lt;=2,1,0)
                                -IF(VLOOKUP(AN$2,'TIS Site Config'!$A$3:$AQ$51,20,FALSE)&lt;=2,1,0)
                                -2)&lt;&gt;0),
                             VLOOKUP(AN$2,'TIS Site Config'!$A$3:$AQ$51,17,FALSE)
                                -IF(VLOOKUP(AN$2,'TIS Site Config'!$A$3:$AQ$51,19,FALSE)&lt;=2,1,0)
                                -IF(VLOOKUP(AN$2,'TIS Site Config'!$A$3:$AQ$51,20,FALSE)&lt;=2,1,0)
                                -2,0),0)</f>
        <v>0</v>
      </c>
      <c r="AO8" s="290">
        <f>IF(VLOOKUP(AO$2,'TIS Site Config'!$A$4:$AQ$51,3,FALSE)&lt;&gt;"Soft",
          IF(
          AND(VLOOKUP(AO$2,'TIS Site Config'!$A$3:$AQ$51,6,FALSE)="Non-heated",
             ( VLOOKUP(AO$2,'TIS Site Config'!$A$3:$AQ$51,17,FALSE)
                                -IF(VLOOKUP(AO$2,'TIS Site Config'!$A$3:$AQ$51,19,FALSE)&lt;=2,1,0)
                                -IF(VLOOKUP(AO$2,'TIS Site Config'!$A$3:$AQ$51,20,FALSE)&lt;=2,1,0)
                                -2)&lt;&gt;0),
                             VLOOKUP(AO$2,'TIS Site Config'!$A$3:$AQ$51,17,FALSE)
                                -IF(VLOOKUP(AO$2,'TIS Site Config'!$A$3:$AQ$51,19,FALSE)&lt;=2,1,0)
                                -IF(VLOOKUP(AO$2,'TIS Site Config'!$A$3:$AQ$51,20,FALSE)&lt;=2,1,0)
                                -2,0),0)</f>
        <v>0</v>
      </c>
      <c r="AP8" s="291">
        <f>IF(VLOOKUP(AP$2,'TIS Site Config'!$A$4:$AQ$51,3,FALSE)&lt;&gt;"Soft",
          IF(
          AND(VLOOKUP(AP$2,'TIS Site Config'!$A$3:$AQ$51,6,FALSE)="Non-heated",
             ( VLOOKUP(AP$2,'TIS Site Config'!$A$3:$AQ$51,17,FALSE)
                                -IF(VLOOKUP(AP$2,'TIS Site Config'!$A$3:$AQ$51,19,FALSE)&lt;=2,1,0)
                                -IF(VLOOKUP(AP$2,'TIS Site Config'!$A$3:$AQ$51,20,FALSE)&lt;=2,1,0)
                                -2)&lt;&gt;0),
                             VLOOKUP(AP$2,'TIS Site Config'!$A$3:$AQ$51,17,FALSE)
                                -IF(VLOOKUP(AP$2,'TIS Site Config'!$A$3:$AQ$51,19,FALSE)&lt;=2,1,0)
                                -IF(VLOOKUP(AP$2,'TIS Site Config'!$A$3:$AQ$51,20,FALSE)&lt;=2,1,0)
                                -2,0),0)</f>
        <v>0</v>
      </c>
      <c r="AQ8" s="129">
        <f>IF(VLOOKUP(AQ$2,'TIS Site Config'!$A$4:$AQ$51,3,FALSE)&lt;&gt;"Soft",
          IF(
          AND(VLOOKUP(AQ$2,'TIS Site Config'!$A$3:$AQ$51,6,FALSE)="Non-heated",
             ( VLOOKUP(AQ$2,'TIS Site Config'!$A$3:$AQ$51,17,FALSE)
                                -IF(VLOOKUP(AQ$2,'TIS Site Config'!$A$3:$AQ$51,19,FALSE)&lt;=2,1,0)
                                -IF(VLOOKUP(AQ$2,'TIS Site Config'!$A$3:$AQ$51,20,FALSE)&lt;=2,1,0)
                                -2)&lt;&gt;0),
                             VLOOKUP(AQ$2,'TIS Site Config'!$A$3:$AQ$51,17,FALSE)
                                -IF(VLOOKUP(AQ$2,'TIS Site Config'!$A$3:$AQ$51,19,FALSE)&lt;=2,1,0)
                                -IF(VLOOKUP(AQ$2,'TIS Site Config'!$A$3:$AQ$51,20,FALSE)&lt;=2,1,0)
                                -2,0),0)</f>
        <v>0</v>
      </c>
      <c r="AR8" s="290">
        <f>IF(VLOOKUP(AR$2,'TIS Site Config'!$A$4:$AQ$51,3,FALSE)&lt;&gt;"Soft",
          IF(
          AND(VLOOKUP(AR$2,'TIS Site Config'!$A$3:$AQ$51,6,FALSE)="Non-heated",
             ( VLOOKUP(AR$2,'TIS Site Config'!$A$3:$AQ$51,17,FALSE)
                                -IF(VLOOKUP(AR$2,'TIS Site Config'!$A$3:$AQ$51,19,FALSE)&lt;=2,1,0)
                                -IF(VLOOKUP(AR$2,'TIS Site Config'!$A$3:$AQ$51,20,FALSE)&lt;=2,1,0)
                                -2)&lt;&gt;0),
                             VLOOKUP(AR$2,'TIS Site Config'!$A$3:$AQ$51,17,FALSE)
                                -IF(VLOOKUP(AR$2,'TIS Site Config'!$A$3:$AQ$51,19,FALSE)&lt;=2,1,0)
                                -IF(VLOOKUP(AR$2,'TIS Site Config'!$A$3:$AQ$51,20,FALSE)&lt;=2,1,0)
                                -2,0),0)</f>
        <v>0</v>
      </c>
      <c r="AS8" s="291">
        <f>IF(VLOOKUP(AS$2,'TIS Site Config'!$A$4:$AQ$51,3,FALSE)&lt;&gt;"Soft",
          IF(
          AND(VLOOKUP(AS$2,'TIS Site Config'!$A$3:$AQ$51,6,FALSE)="Non-heated",
             ( VLOOKUP(AS$2,'TIS Site Config'!$A$3:$AQ$51,17,FALSE)
                                -IF(VLOOKUP(AS$2,'TIS Site Config'!$A$3:$AQ$51,19,FALSE)&lt;=2,1,0)
                                -IF(VLOOKUP(AS$2,'TIS Site Config'!$A$3:$AQ$51,20,FALSE)&lt;=2,1,0)
                                -2)&lt;&gt;0),
                             VLOOKUP(AS$2,'TIS Site Config'!$A$3:$AQ$51,17,FALSE)
                                -IF(VLOOKUP(AS$2,'TIS Site Config'!$A$3:$AQ$51,19,FALSE)&lt;=2,1,0)
                                -IF(VLOOKUP(AS$2,'TIS Site Config'!$A$3:$AQ$51,20,FALSE)&lt;=2,1,0)
                                -2,0),0)</f>
        <v>0</v>
      </c>
      <c r="AT8" s="290">
        <f>IF(VLOOKUP(AT$2,'TIS Site Config'!$A$4:$AQ$51,3,FALSE)&lt;&gt;"Soft",
          IF(
          AND(VLOOKUP(AT$2,'TIS Site Config'!$A$3:$AQ$51,6,FALSE)="Non-heated",
             ( VLOOKUP(AT$2,'TIS Site Config'!$A$3:$AQ$51,17,FALSE)
                                -IF(VLOOKUP(AT$2,'TIS Site Config'!$A$3:$AQ$51,19,FALSE)&lt;=2,1,0)
                                -IF(VLOOKUP(AT$2,'TIS Site Config'!$A$3:$AQ$51,20,FALSE)&lt;=2,1,0)
                                -2)&lt;&gt;0),
                             VLOOKUP(AT$2,'TIS Site Config'!$A$3:$AQ$51,17,FALSE)
                                -IF(VLOOKUP(AT$2,'TIS Site Config'!$A$3:$AQ$51,19,FALSE)&lt;=2,1,0)
                                -IF(VLOOKUP(AT$2,'TIS Site Config'!$A$3:$AQ$51,20,FALSE)&lt;=2,1,0)
                                -2,0),0)</f>
        <v>0</v>
      </c>
      <c r="AU8" s="291">
        <f>IF(VLOOKUP(AU$2,'TIS Site Config'!$A$4:$AQ$51,3,FALSE)&lt;&gt;"Soft",
          IF(
          AND(VLOOKUP(AU$2,'TIS Site Config'!$A$3:$AQ$51,6,FALSE)="Non-heated",
             ( VLOOKUP(AU$2,'TIS Site Config'!$A$3:$AQ$51,17,FALSE)
                                -IF(VLOOKUP(AU$2,'TIS Site Config'!$A$3:$AQ$51,19,FALSE)&lt;=2,1,0)
                                -IF(VLOOKUP(AU$2,'TIS Site Config'!$A$3:$AQ$51,20,FALSE)&lt;=2,1,0)
                                -2)&lt;&gt;0),
                             VLOOKUP(AU$2,'TIS Site Config'!$A$3:$AQ$51,17,FALSE)
                                -IF(VLOOKUP(AU$2,'TIS Site Config'!$A$3:$AQ$51,19,FALSE)&lt;=2,1,0)
                                -IF(VLOOKUP(AU$2,'TIS Site Config'!$A$3:$AQ$51,20,FALSE)&lt;=2,1,0)
                                -2,0),0)</f>
        <v>0</v>
      </c>
      <c r="AV8" s="290">
        <f>IF(VLOOKUP(AV$2,'TIS Site Config'!$A$4:$AQ$51,3,FALSE)&lt;&gt;"Soft",
          IF(
          AND(VLOOKUP(AV$2,'TIS Site Config'!$A$3:$AQ$51,6,FALSE)="Non-heated",
             ( VLOOKUP(AV$2,'TIS Site Config'!$A$3:$AQ$51,17,FALSE)
                                -IF(VLOOKUP(AV$2,'TIS Site Config'!$A$3:$AQ$51,19,FALSE)&lt;=2,1,0)
                                -IF(VLOOKUP(AV$2,'TIS Site Config'!$A$3:$AQ$51,20,FALSE)&lt;=2,1,0)
                                -2)&lt;&gt;0),
                             VLOOKUP(AV$2,'TIS Site Config'!$A$3:$AQ$51,17,FALSE)
                                -IF(VLOOKUP(AV$2,'TIS Site Config'!$A$3:$AQ$51,19,FALSE)&lt;=2,1,0)
                                -IF(VLOOKUP(AV$2,'TIS Site Config'!$A$3:$AQ$51,20,FALSE)&lt;=2,1,0)
                                -2,0),0)</f>
        <v>0</v>
      </c>
      <c r="AW8" s="129">
        <f>IF(VLOOKUP(AW$2,'TIS Site Config'!$A$4:$AQ$51,3,FALSE)&lt;&gt;"Soft",
          IF(
          AND(VLOOKUP(AW$2,'TIS Site Config'!$A$3:$AQ$51,6,FALSE)="Non-heated",
             ( VLOOKUP(AW$2,'TIS Site Config'!$A$3:$AQ$51,17,FALSE)
                                -IF(VLOOKUP(AW$2,'TIS Site Config'!$A$3:$AQ$51,19,FALSE)&lt;=2,1,0)
                                -IF(VLOOKUP(AW$2,'TIS Site Config'!$A$3:$AQ$51,20,FALSE)&lt;=2,1,0)
                                -2)&lt;&gt;0),
                             VLOOKUP(AW$2,'TIS Site Config'!$A$3:$AQ$51,17,FALSE)
                                -IF(VLOOKUP(AW$2,'TIS Site Config'!$A$3:$AQ$51,19,FALSE)&lt;=2,1,0)
                                -IF(VLOOKUP(AW$2,'TIS Site Config'!$A$3:$AQ$51,20,FALSE)&lt;=2,1,0)
                                -2,0),0)</f>
        <v>0</v>
      </c>
      <c r="AX8" s="292">
        <f>IF(VLOOKUP(AX$2,'TIS Site Config'!$A$4:$AQ$51,3,FALSE)&lt;&gt;"Soft",
          IF(
          AND(VLOOKUP(AX$2,'TIS Site Config'!$A$3:$AQ$51,6,FALSE)="Non-heated",
             ( VLOOKUP(AX$2,'TIS Site Config'!$A$3:$AQ$51,17,FALSE)
                                -IF(VLOOKUP(AX$2,'TIS Site Config'!$A$3:$AQ$51,19,FALSE)&lt;=2,1,0)
                                -IF(VLOOKUP(AX$2,'TIS Site Config'!$A$3:$AQ$51,20,FALSE)&lt;=2,1,0)
                                -2)&lt;&gt;0),
                             VLOOKUP(AX$2,'TIS Site Config'!$A$3:$AQ$51,17,FALSE)
                                -IF(VLOOKUP(AX$2,'TIS Site Config'!$A$3:$AQ$51,19,FALSE)&lt;=2,1,0)
                                -IF(VLOOKUP(AX$2,'TIS Site Config'!$A$3:$AQ$51,20,FALSE)&lt;=2,1,0)
                                -2,0),0)</f>
        <v>0</v>
      </c>
      <c r="AY8" s="290">
        <f>IF(VLOOKUP(AY$2,'TIS Site Config'!$A$4:$AQ$51,3,FALSE)&lt;&gt;"Soft",
          IF(
          AND(VLOOKUP(AY$2,'TIS Site Config'!$A$3:$AQ$51,6,FALSE)="Non-heated",
             ( VLOOKUP(AY$2,'TIS Site Config'!$A$3:$AQ$51,17,FALSE)
                                -IF(VLOOKUP(AY$2,'TIS Site Config'!$A$3:$AQ$51,19,FALSE)&lt;=2,1,0)
                                -IF(VLOOKUP(AY$2,'TIS Site Config'!$A$3:$AQ$51,20,FALSE)&lt;=2,1,0)
                                -2)&lt;&gt;0),
                             VLOOKUP(AY$2,'TIS Site Config'!$A$3:$AQ$51,17,FALSE)
                                -IF(VLOOKUP(AY$2,'TIS Site Config'!$A$3:$AQ$51,19,FALSE)&lt;=2,1,0)
                                -IF(VLOOKUP(AY$2,'TIS Site Config'!$A$3:$AQ$51,20,FALSE)&lt;=2,1,0)
                                -2,0),0)</f>
        <v>0</v>
      </c>
      <c r="AZ8" s="291">
        <f>IF(VLOOKUP(AZ$2,'TIS Site Config'!$A$4:$AQ$51,3,FALSE)&lt;&gt;"Soft",
          IF(
          AND(VLOOKUP(AZ$2,'TIS Site Config'!$A$3:$AQ$51,6,FALSE)="Non-heated",
             ( VLOOKUP(AZ$2,'TIS Site Config'!$A$3:$AQ$51,17,FALSE)
                                -IF(VLOOKUP(AZ$2,'TIS Site Config'!$A$3:$AQ$51,19,FALSE)&lt;=2,1,0)
                                -IF(VLOOKUP(AZ$2,'TIS Site Config'!$A$3:$AQ$51,20,FALSE)&lt;=2,1,0)
                                -2)&lt;&gt;0),
                             VLOOKUP(AZ$2,'TIS Site Config'!$A$3:$AQ$51,17,FALSE)
                                -IF(VLOOKUP(AZ$2,'TIS Site Config'!$A$3:$AQ$51,19,FALSE)&lt;=2,1,0)
                                -IF(VLOOKUP(AZ$2,'TIS Site Config'!$A$3:$AQ$51,20,FALSE)&lt;=2,1,0)
                                -2,0),0)</f>
        <v>0</v>
      </c>
      <c r="BA8" s="293">
        <f>IF(VLOOKUP(BA$2,'TIS Site Config'!$A$4:$AQ$51,3,FALSE)&lt;&gt;"Soft",
          IF(
          AND(VLOOKUP(BA$2,'TIS Site Config'!$A$3:$AQ$51,6,FALSE)="Non-heated",
             ( VLOOKUP(BA$2,'TIS Site Config'!$A$3:$AQ$51,17,FALSE)
                                -IF(VLOOKUP(BA$2,'TIS Site Config'!$A$3:$AQ$51,19,FALSE)&lt;=2,1,0)
                                -IF(VLOOKUP(BA$2,'TIS Site Config'!$A$3:$AQ$51,20,FALSE)&lt;=2,1,0)
                                -2)&lt;&gt;0),
                             VLOOKUP(BA$2,'TIS Site Config'!$A$3:$AQ$51,17,FALSE)
                                -IF(VLOOKUP(BA$2,'TIS Site Config'!$A$3:$AQ$51,19,FALSE)&lt;=2,1,0)
                                -IF(VLOOKUP(BA$2,'TIS Site Config'!$A$3:$AQ$51,20,FALSE)&lt;=2,1,0)
                                -2,0),0)</f>
        <v>0</v>
      </c>
      <c r="BB8" s="290">
        <f>IF(VLOOKUP(BB$2,'TIS Site Config'!$A$4:$AQ$51,3,FALSE)&lt;&gt;"Soft",
          IF(
          AND(VLOOKUP(BB$2,'TIS Site Config'!$A$3:$AQ$51,6,FALSE)="Non-heated",
             ( VLOOKUP(BB$2,'TIS Site Config'!$A$3:$AQ$51,17,FALSE)
                                -IF(VLOOKUP(BB$2,'TIS Site Config'!$A$3:$AQ$51,19,FALSE)&lt;=2,1,0)
                                -IF(VLOOKUP(BB$2,'TIS Site Config'!$A$3:$AQ$51,20,FALSE)&lt;=2,1,0)
                                -2)&lt;&gt;0),
                             VLOOKUP(BB$2,'TIS Site Config'!$A$3:$AQ$51,17,FALSE)
                                -IF(VLOOKUP(BB$2,'TIS Site Config'!$A$3:$AQ$51,19,FALSE)&lt;=2,1,0)
                                -IF(VLOOKUP(BB$2,'TIS Site Config'!$A$3:$AQ$51,20,FALSE)&lt;=2,1,0)
                                -2,0),0)</f>
        <v>0</v>
      </c>
      <c r="BC8" s="292">
        <f>IF(VLOOKUP(BC$2,'TIS Site Config'!$A$4:$AQ$51,3,FALSE)&lt;&gt;"Soft",
          IF(
          AND(VLOOKUP(BC$2,'TIS Site Config'!$A$3:$AQ$51,6,FALSE)="Non-heated",
             ( VLOOKUP(BC$2,'TIS Site Config'!$A$3:$AQ$51,17,FALSE)
                                -IF(VLOOKUP(BC$2,'TIS Site Config'!$A$3:$AQ$51,19,FALSE)&lt;=2,1,0)
                                -IF(VLOOKUP(BC$2,'TIS Site Config'!$A$3:$AQ$51,20,FALSE)&lt;=2,1,0)
                                -2)&lt;&gt;0),
                             VLOOKUP(BC$2,'TIS Site Config'!$A$3:$AQ$51,17,FALSE)
                                -IF(VLOOKUP(BC$2,'TIS Site Config'!$A$3:$AQ$51,19,FALSE)&lt;=2,1,0)
                                -IF(VLOOKUP(BC$2,'TIS Site Config'!$A$3:$AQ$51,20,FALSE)&lt;=2,1,0)
                                -2,0),0)</f>
        <v>0</v>
      </c>
      <c r="BD8" s="290">
        <f>IF(VLOOKUP(BD$2,'TIS Site Config'!$A$4:$AQ$51,3,FALSE)&lt;&gt;"Soft",
          IF(
          AND(VLOOKUP(BD$2,'TIS Site Config'!$A$3:$AQ$51,6,FALSE)="Non-heated",
             ( VLOOKUP(BD$2,'TIS Site Config'!$A$3:$AQ$51,17,FALSE)
                                -IF(VLOOKUP(BD$2,'TIS Site Config'!$A$3:$AQ$51,19,FALSE)&lt;=2,1,0)
                                -IF(VLOOKUP(BD$2,'TIS Site Config'!$A$3:$AQ$51,20,FALSE)&lt;=2,1,0)
                                -2)&lt;&gt;0),
                             VLOOKUP(BD$2,'TIS Site Config'!$A$3:$AQ$51,17,FALSE)
                                -IF(VLOOKUP(BD$2,'TIS Site Config'!$A$3:$AQ$51,19,FALSE)&lt;=2,1,0)
                                -IF(VLOOKUP(BD$2,'TIS Site Config'!$A$3:$AQ$51,20,FALSE)&lt;=2,1,0)
                                -2,0),0)</f>
        <v>0</v>
      </c>
      <c r="BE8" s="291">
        <f>IF(VLOOKUP(BE$2,'TIS Site Config'!$A$4:$AQ$51,3,FALSE)&lt;&gt;"Soft",
          IF(
          AND(VLOOKUP(BE$2,'TIS Site Config'!$A$3:$AQ$51,6,FALSE)="Non-heated",
             ( VLOOKUP(BE$2,'TIS Site Config'!$A$3:$AQ$51,17,FALSE)
                                -IF(VLOOKUP(BE$2,'TIS Site Config'!$A$3:$AQ$51,19,FALSE)&lt;=2,1,0)
                                -IF(VLOOKUP(BE$2,'TIS Site Config'!$A$3:$AQ$51,20,FALSE)&lt;=2,1,0)
                                -2)&lt;&gt;0),
                             VLOOKUP(BE$2,'TIS Site Config'!$A$3:$AQ$51,17,FALSE)
                                -IF(VLOOKUP(BE$2,'TIS Site Config'!$A$3:$AQ$51,19,FALSE)&lt;=2,1,0)
                                -IF(VLOOKUP(BE$2,'TIS Site Config'!$A$3:$AQ$51,20,FALSE)&lt;=2,1,0)
                                -2,0),0)</f>
        <v>0</v>
      </c>
      <c r="BF8" s="292">
        <f>IF(VLOOKUP(BF$2,'TIS Site Config'!$A$4:$AQ$51,3,FALSE)&lt;&gt;"Soft",
          IF(
          AND(VLOOKUP(BF$2,'TIS Site Config'!$A$3:$AQ$51,6,FALSE)="Non-heated",
             ( VLOOKUP(BF$2,'TIS Site Config'!$A$3:$AQ$51,17,FALSE)
                                -IF(VLOOKUP(BF$2,'TIS Site Config'!$A$3:$AQ$51,19,FALSE)&lt;=2,1,0)
                                -IF(VLOOKUP(BF$2,'TIS Site Config'!$A$3:$AQ$51,20,FALSE)&lt;=2,1,0)
                                -2)&lt;&gt;0),
                             VLOOKUP(BF$2,'TIS Site Config'!$A$3:$AQ$51,17,FALSE)
                                -IF(VLOOKUP(BF$2,'TIS Site Config'!$A$3:$AQ$51,19,FALSE)&lt;=2,1,0)
                                -IF(VLOOKUP(BF$2,'TIS Site Config'!$A$3:$AQ$51,20,FALSE)&lt;=2,1,0)
                                -2,0),0)</f>
        <v>0</v>
      </c>
      <c r="BG8" s="181">
        <f>IF(VLOOKUP(BG$2,'TIS Site Config'!$A$4:$AQ$51,3,FALSE)&lt;&gt;"Soft",
          IF(
          AND(VLOOKUP(BG$2,'TIS Site Config'!$A$3:$AQ$51,6,FALSE)="Non-heated",
             ( VLOOKUP(BG$2,'TIS Site Config'!$A$3:$AQ$51,17,FALSE)
                                -IF(VLOOKUP(BG$2,'TIS Site Config'!$A$3:$AQ$51,19,FALSE)&lt;=2,1,0)
                                -IF(VLOOKUP(BG$2,'TIS Site Config'!$A$3:$AQ$51,20,FALSE)&lt;=2,1,0)
                                -2)&lt;&gt;0),
                             VLOOKUP(BG$2,'TIS Site Config'!$A$3:$AQ$51,17,FALSE)
                                -IF(VLOOKUP(BG$2,'TIS Site Config'!$A$3:$AQ$51,19,FALSE)&lt;=2,1,0)
                                -IF(VLOOKUP(BG$2,'TIS Site Config'!$A$3:$AQ$51,20,FALSE)&lt;=2,1,0)
                                -2,0),0)</f>
        <v>2</v>
      </c>
      <c r="BH8" s="1073">
        <f>IF(VLOOKUP(BH$2,'TIS Site Config'!$A$4:$AQ$51,3,FALSE)&lt;&gt;"Soft",
          IF(
          AND(VLOOKUP(BH$2,'TIS Site Config'!$A$3:$AQ$51,6,FALSE)="Non-heated",
             ( VLOOKUP(BH$2,'TIS Site Config'!$A$3:$AQ$51,17,FALSE)
                                -IF(VLOOKUP(BH$2,'TIS Site Config'!$A$3:$AQ$51,19,FALSE)&lt;=2,1,0)
                                -IF(VLOOKUP(BH$2,'TIS Site Config'!$A$3:$AQ$51,20,FALSE)&lt;=2,1,0)
                                -2)&lt;&gt;0),
                             VLOOKUP(BH$2,'TIS Site Config'!$A$3:$AQ$51,17,FALSE)
                                -IF(VLOOKUP(BH$2,'TIS Site Config'!$A$3:$AQ$51,19,FALSE)&lt;=2,1,0)
                                -IF(VLOOKUP(BH$2,'TIS Site Config'!$A$3:$AQ$51,20,FALSE)&lt;=2,1,0)
                                -2,0),0)</f>
        <v>0</v>
      </c>
      <c r="BK8" s="3">
        <v>21</v>
      </c>
      <c r="BL8" s="950" t="b">
        <f t="shared" si="0"/>
        <v>0</v>
      </c>
      <c r="BO8" s="950"/>
    </row>
    <row r="9" spans="1:67" x14ac:dyDescent="0.25">
      <c r="A9" s="1366"/>
      <c r="B9" s="1364"/>
      <c r="C9" s="61" t="s">
        <v>183</v>
      </c>
      <c r="D9" s="62">
        <v>1</v>
      </c>
      <c r="E9" s="85" t="s">
        <v>287</v>
      </c>
      <c r="F9" s="62">
        <f t="shared" si="1"/>
        <v>59</v>
      </c>
      <c r="G9" s="450">
        <v>1</v>
      </c>
      <c r="H9" s="451"/>
      <c r="I9" s="451"/>
      <c r="J9" s="451"/>
      <c r="K9" s="452"/>
      <c r="L9" s="491"/>
      <c r="M9" s="131">
        <f>IF(VLOOKUP(M$2,'TIS Site Config'!$A$4:$AQ$51,3,FALSE)&lt;&gt;"Soft",
          IF(
          AND(OR(VLOOKUP(M$2,'TIS Site Config'!$A$3:$AQ$51,6,FALSE)="Heated",
                             VLOOKUP(M$2,'TIS Site Config'!$A$3:$AQ$51,6,FALSE)="Extreme Heated"),
             ( VLOOKUP(M$2,'TIS Site Config'!$A$3:$AQ$51,17,FALSE)
                                -IF(VLOOKUP(M$2,'TIS Site Config'!$A$3:$AQ$51,19,FALSE)&lt;=2,1,0)
                                -IF(VLOOKUP(M$2,'TIS Site Config'!$A$3:$AQ$51,20,FALSE)&lt;=2,1,0)
                                -2)&lt;&gt;0),
                             VLOOKUP(M$2,'TIS Site Config'!$A$3:$AQ$51,17,FALSE)
                                -IF(VLOOKUP(M$2,'TIS Site Config'!$A$3:$AQ$51,19,FALSE)&lt;=2,1,0)
                                -IF(VLOOKUP(M$2,'TIS Site Config'!$A$3:$AQ$51,20,FALSE)&lt;=2,1,0)
                                -2,0),0)</f>
        <v>3</v>
      </c>
      <c r="N9" s="160">
        <f>IF(VLOOKUP(N$2,'TIS Site Config'!$A$4:$AQ$51,3,FALSE)&lt;&gt;"Soft",
          IF(
          AND(OR(VLOOKUP(N$2,'TIS Site Config'!$A$3:$AQ$51,6,FALSE)="Heated",
                             VLOOKUP(N$2,'TIS Site Config'!$A$3:$AQ$51,6,FALSE)="Extreme Heated"),
             ( VLOOKUP(N$2,'TIS Site Config'!$A$3:$AQ$51,17,FALSE)
                                -IF(VLOOKUP(N$2,'TIS Site Config'!$A$3:$AQ$51,19,FALSE)&lt;=2,1,0)
                                -IF(VLOOKUP(N$2,'TIS Site Config'!$A$3:$AQ$51,20,FALSE)&lt;=2,1,0)
                                -2)&lt;&gt;0),
                             VLOOKUP(N$2,'TIS Site Config'!$A$3:$AQ$51,17,FALSE)
                                -IF(VLOOKUP(N$2,'TIS Site Config'!$A$3:$AQ$51,19,FALSE)&lt;=2,1,0)
                                -IF(VLOOKUP(N$2,'TIS Site Config'!$A$3:$AQ$51,20,FALSE)&lt;=2,1,0)
                                -2,0),0)</f>
        <v>3</v>
      </c>
      <c r="O9" s="980">
        <f>IF(VLOOKUP(O$2,'TIS Site Config'!$A$4:$AQ$51,3,FALSE)&lt;&gt;"Soft",
          IF(
          AND(OR(VLOOKUP(O$2,'TIS Site Config'!$A$3:$AQ$51,6,FALSE)="Heated",
                             VLOOKUP(O$2,'TIS Site Config'!$A$3:$AQ$51,6,FALSE)="Extreme Heated"),
             ( VLOOKUP(O$2,'TIS Site Config'!$A$3:$AQ$51,17,FALSE)
                                -IF(VLOOKUP(O$2,'TIS Site Config'!$A$3:$AQ$51,19,FALSE)&lt;=2,1,0)
                                -IF(VLOOKUP(O$2,'TIS Site Config'!$A$3:$AQ$51,20,FALSE)&lt;=2,1,0)
                                -2)&lt;&gt;0),
                             VLOOKUP(O$2,'TIS Site Config'!$A$3:$AQ$51,17,FALSE)
                                -IF(VLOOKUP(O$2,'TIS Site Config'!$A$3:$AQ$51,19,FALSE)&lt;=2,1,0)
                                -IF(VLOOKUP(O$2,'TIS Site Config'!$A$3:$AQ$51,20,FALSE)&lt;=2,1,0)
                                -2,0),0)</f>
        <v>3</v>
      </c>
      <c r="P9" s="150">
        <f>IF(VLOOKUP(P$2,'TIS Site Config'!$A$4:$AQ$51,3,FALSE)&lt;&gt;"Soft",
          IF(
          AND(OR(VLOOKUP(P$2,'TIS Site Config'!$A$3:$AQ$51,6,FALSE)="Heated",
                             VLOOKUP(P$2,'TIS Site Config'!$A$3:$AQ$51,6,FALSE)="Extreme Heated"),
             ( VLOOKUP(P$2,'TIS Site Config'!$A$3:$AQ$51,17,FALSE)
                                -IF(VLOOKUP(P$2,'TIS Site Config'!$A$3:$AQ$51,19,FALSE)&lt;=2,1,0)
                                -IF(VLOOKUP(P$2,'TIS Site Config'!$A$3:$AQ$51,20,FALSE)&lt;=2,1,0)
                                -2)&lt;&gt;0),
                             VLOOKUP(P$2,'TIS Site Config'!$A$3:$AQ$51,17,FALSE)
                                -IF(VLOOKUP(P$2,'TIS Site Config'!$A$3:$AQ$51,19,FALSE)&lt;=2,1,0)
                                -IF(VLOOKUP(P$2,'TIS Site Config'!$A$3:$AQ$51,20,FALSE)&lt;=2,1,0)
                                -2,0),0)</f>
        <v>3</v>
      </c>
      <c r="Q9" s="160">
        <f>IF(VLOOKUP(Q$2,'TIS Site Config'!$A$4:$AQ$51,3,FALSE)&lt;&gt;"Soft",
          IF(
          AND(OR(VLOOKUP(Q$2,'TIS Site Config'!$A$3:$AQ$51,6,FALSE)="Heated",
                             VLOOKUP(Q$2,'TIS Site Config'!$A$3:$AQ$51,6,FALSE)="Extreme Heated"),
             ( VLOOKUP(Q$2,'TIS Site Config'!$A$3:$AQ$51,17,FALSE)
                                -IF(VLOOKUP(Q$2,'TIS Site Config'!$A$3:$AQ$51,19,FALSE)&lt;=2,1,0)
                                -IF(VLOOKUP(Q$2,'TIS Site Config'!$A$3:$AQ$51,20,FALSE)&lt;=2,1,0)
                                -2)&lt;&gt;0),
                             VLOOKUP(Q$2,'TIS Site Config'!$A$3:$AQ$51,17,FALSE)
                                -IF(VLOOKUP(Q$2,'TIS Site Config'!$A$3:$AQ$51,19,FALSE)&lt;=2,1,0)
                                -IF(VLOOKUP(Q$2,'TIS Site Config'!$A$3:$AQ$51,20,FALSE)&lt;=2,1,0)
                                -2,0),0)</f>
        <v>0</v>
      </c>
      <c r="R9" s="126">
        <f>IF(VLOOKUP(R$2,'TIS Site Config'!$A$4:$AQ$51,3,FALSE)&lt;&gt;"Soft",
          IF(
          AND(OR(VLOOKUP(R$2,'TIS Site Config'!$A$3:$AQ$51,6,FALSE)="Heated",
                             VLOOKUP(R$2,'TIS Site Config'!$A$3:$AQ$51,6,FALSE)="Extreme Heated"),
             ( VLOOKUP(R$2,'TIS Site Config'!$A$3:$AQ$51,17,FALSE)
                                -IF(VLOOKUP(R$2,'TIS Site Config'!$A$3:$AQ$51,19,FALSE)&lt;=2,1,0)
                                -IF(VLOOKUP(R$2,'TIS Site Config'!$A$3:$AQ$51,20,FALSE)&lt;=2,1,0)
                                -2)&lt;&gt;0),
                             VLOOKUP(R$2,'TIS Site Config'!$A$3:$AQ$51,17,FALSE)
                                -IF(VLOOKUP(R$2,'TIS Site Config'!$A$3:$AQ$51,19,FALSE)&lt;=2,1,0)
                                -IF(VLOOKUP(R$2,'TIS Site Config'!$A$3:$AQ$51,20,FALSE)&lt;=2,1,0)
                                -2,0),0)</f>
        <v>0</v>
      </c>
      <c r="S9" s="150">
        <f>IF(VLOOKUP(S$2,'TIS Site Config'!$A$4:$AQ$51,3,FALSE)&lt;&gt;"Soft",
          IF(
          AND(OR(VLOOKUP(S$2,'TIS Site Config'!$A$3:$AQ$51,6,FALSE)="Heated",
                             VLOOKUP(S$2,'TIS Site Config'!$A$3:$AQ$51,6,FALSE)="Extreme Heated"),
             ( VLOOKUP(S$2,'TIS Site Config'!$A$3:$AQ$51,17,FALSE)
                                -IF(VLOOKUP(S$2,'TIS Site Config'!$A$3:$AQ$51,19,FALSE)&lt;=2,1,0)
                                -IF(VLOOKUP(S$2,'TIS Site Config'!$A$3:$AQ$51,20,FALSE)&lt;=2,1,0)
                                -2)&lt;&gt;0),
                             VLOOKUP(S$2,'TIS Site Config'!$A$3:$AQ$51,17,FALSE)
                                -IF(VLOOKUP(S$2,'TIS Site Config'!$A$3:$AQ$51,19,FALSE)&lt;=2,1,0)
                                -IF(VLOOKUP(S$2,'TIS Site Config'!$A$3:$AQ$51,20,FALSE)&lt;=2,1,0)
                                -2,0),0)</f>
        <v>0</v>
      </c>
      <c r="T9" s="160">
        <f>IF(VLOOKUP(T$2,'TIS Site Config'!$A$4:$AQ$51,3,FALSE)&lt;&gt;"Soft",
          IF(
          AND(OR(VLOOKUP(T$2,'TIS Site Config'!$A$3:$AQ$51,6,FALSE)="Heated",
                             VLOOKUP(T$2,'TIS Site Config'!$A$3:$AQ$51,6,FALSE)="Extreme Heated"),
             ( VLOOKUP(T$2,'TIS Site Config'!$A$3:$AQ$51,17,FALSE)
                                -IF(VLOOKUP(T$2,'TIS Site Config'!$A$3:$AQ$51,19,FALSE)&lt;=2,1,0)
                                -IF(VLOOKUP(T$2,'TIS Site Config'!$A$3:$AQ$51,20,FALSE)&lt;=2,1,0)
                                -2)&lt;&gt;0),
                             VLOOKUP(T$2,'TIS Site Config'!$A$3:$AQ$51,17,FALSE)
                                -IF(VLOOKUP(T$2,'TIS Site Config'!$A$3:$AQ$51,19,FALSE)&lt;=2,1,0)
                                -IF(VLOOKUP(T$2,'TIS Site Config'!$A$3:$AQ$51,20,FALSE)&lt;=2,1,0)
                                -2,0),0)</f>
        <v>0</v>
      </c>
      <c r="U9" s="126">
        <f>IF(VLOOKUP(U$2,'TIS Site Config'!$A$4:$AQ$51,3,FALSE)&lt;&gt;"Soft",
          IF(
          AND(OR(VLOOKUP(U$2,'TIS Site Config'!$A$3:$AQ$51,6,FALSE)="Heated",
                             VLOOKUP(U$2,'TIS Site Config'!$A$3:$AQ$51,6,FALSE)="Extreme Heated"),
             ( VLOOKUP(U$2,'TIS Site Config'!$A$3:$AQ$51,17,FALSE)
                                -IF(VLOOKUP(U$2,'TIS Site Config'!$A$3:$AQ$51,19,FALSE)&lt;=2,1,0)
                                -IF(VLOOKUP(U$2,'TIS Site Config'!$A$3:$AQ$51,20,FALSE)&lt;=2,1,0)
                                -2)&lt;&gt;0),
                             VLOOKUP(U$2,'TIS Site Config'!$A$3:$AQ$51,17,FALSE)
                                -IF(VLOOKUP(U$2,'TIS Site Config'!$A$3:$AQ$51,19,FALSE)&lt;=2,1,0)
                                -IF(VLOOKUP(U$2,'TIS Site Config'!$A$3:$AQ$51,20,FALSE)&lt;=2,1,0)
                                -2,0),0)</f>
        <v>0</v>
      </c>
      <c r="V9" s="160">
        <f>IF(VLOOKUP(V$2,'TIS Site Config'!$A$4:$AQ$51,3,FALSE)&lt;&gt;"Soft",
          IF(
          AND(OR(VLOOKUP(V$2,'TIS Site Config'!$A$3:$AQ$51,6,FALSE)="Heated",
                             VLOOKUP(V$2,'TIS Site Config'!$A$3:$AQ$51,6,FALSE)="Extreme Heated"),
             ( VLOOKUP(V$2,'TIS Site Config'!$A$3:$AQ$51,17,FALSE)
                                -IF(VLOOKUP(V$2,'TIS Site Config'!$A$3:$AQ$51,19,FALSE)&lt;=2,1,0)
                                -IF(VLOOKUP(V$2,'TIS Site Config'!$A$3:$AQ$51,20,FALSE)&lt;=2,1,0)
                                -2)&lt;&gt;0),
                             VLOOKUP(V$2,'TIS Site Config'!$A$3:$AQ$51,17,FALSE)
                                -IF(VLOOKUP(V$2,'TIS Site Config'!$A$3:$AQ$51,19,FALSE)&lt;=2,1,0)
                                -IF(VLOOKUP(V$2,'TIS Site Config'!$A$3:$AQ$51,20,FALSE)&lt;=2,1,0)
                                -2,0),0)</f>
        <v>0</v>
      </c>
      <c r="W9" s="163">
        <f>IF(VLOOKUP(W$2,'TIS Site Config'!$A$4:$AQ$51,3,FALSE)&lt;&gt;"Soft",
          IF(
          AND(OR(VLOOKUP(W$2,'TIS Site Config'!$A$3:$AQ$51,6,FALSE)="Heated",
                             VLOOKUP(W$2,'TIS Site Config'!$A$3:$AQ$51,6,FALSE)="Extreme Heated"),
             ( VLOOKUP(W$2,'TIS Site Config'!$A$3:$AQ$51,17,FALSE)
                                -IF(VLOOKUP(W$2,'TIS Site Config'!$A$3:$AQ$51,19,FALSE)&lt;=2,1,0)
                                -IF(VLOOKUP(W$2,'TIS Site Config'!$A$3:$AQ$51,20,FALSE)&lt;=2,1,0)
                                -2)&lt;&gt;0),
                             VLOOKUP(W$2,'TIS Site Config'!$A$3:$AQ$51,17,FALSE)
                                -IF(VLOOKUP(W$2,'TIS Site Config'!$A$3:$AQ$51,19,FALSE)&lt;=2,1,0)
                                -IF(VLOOKUP(W$2,'TIS Site Config'!$A$3:$AQ$51,20,FALSE)&lt;=2,1,0)
                                -2,0),0)</f>
        <v>4</v>
      </c>
      <c r="X9" s="165">
        <f>IF(VLOOKUP(X$2,'TIS Site Config'!$A$4:$AQ$51,3,FALSE)&lt;&gt;"Soft",
          IF(
          AND(OR(VLOOKUP(X$2,'TIS Site Config'!$A$3:$AQ$51,6,FALSE)="Heated",
                             VLOOKUP(X$2,'TIS Site Config'!$A$3:$AQ$51,6,FALSE)="Extreme Heated"),
             ( VLOOKUP(X$2,'TIS Site Config'!$A$3:$AQ$51,17,FALSE)
                                -IF(VLOOKUP(X$2,'TIS Site Config'!$A$3:$AQ$51,19,FALSE)&lt;=2,1,0)
                                -IF(VLOOKUP(X$2,'TIS Site Config'!$A$3:$AQ$51,20,FALSE)&lt;=2,1,0)
                                -2)&lt;&gt;0),
                             VLOOKUP(X$2,'TIS Site Config'!$A$3:$AQ$51,17,FALSE)
                                -IF(VLOOKUP(X$2,'TIS Site Config'!$A$3:$AQ$51,19,FALSE)&lt;=2,1,0)
                                -IF(VLOOKUP(X$2,'TIS Site Config'!$A$3:$AQ$51,20,FALSE)&lt;=2,1,0)
                                -2,0),0)</f>
        <v>3</v>
      </c>
      <c r="Y9" s="162">
        <f>IF(VLOOKUP(Y$2,'TIS Site Config'!$A$4:$AQ$51,3,FALSE)&lt;&gt;"Soft",
          IF(
          AND(OR(VLOOKUP(Y$2,'TIS Site Config'!$A$3:$AQ$51,6,FALSE)="Heated",
                             VLOOKUP(Y$2,'TIS Site Config'!$A$3:$AQ$51,6,FALSE)="Extreme Heated"),
             ( VLOOKUP(Y$2,'TIS Site Config'!$A$3:$AQ$51,17,FALSE)
                                -IF(VLOOKUP(Y$2,'TIS Site Config'!$A$3:$AQ$51,19,FALSE)&lt;=2,1,0)
                                -IF(VLOOKUP(Y$2,'TIS Site Config'!$A$3:$AQ$51,20,FALSE)&lt;=2,1,0)
                                -2)&lt;&gt;0),
                             VLOOKUP(Y$2,'TIS Site Config'!$A$3:$AQ$51,17,FALSE)
                                -IF(VLOOKUP(Y$2,'TIS Site Config'!$A$3:$AQ$51,19,FALSE)&lt;=2,1,0)
                                -IF(VLOOKUP(Y$2,'TIS Site Config'!$A$3:$AQ$51,20,FALSE)&lt;=2,1,0)
                                -2,0),0)</f>
        <v>3</v>
      </c>
      <c r="Z9" s="126">
        <f>IF(VLOOKUP(Z$2,'TIS Site Config'!$A$4:$AQ$51,3,FALSE)&lt;&gt;"Soft",
          IF(
          AND(OR(VLOOKUP(Z$2,'TIS Site Config'!$A$3:$AQ$51,6,FALSE)="Heated",
                             VLOOKUP(Z$2,'TIS Site Config'!$A$3:$AQ$51,6,FALSE)="Extreme Heated"),
             ( VLOOKUP(Z$2,'TIS Site Config'!$A$3:$AQ$51,17,FALSE)
                                -IF(VLOOKUP(Z$2,'TIS Site Config'!$A$3:$AQ$51,19,FALSE)&lt;=2,1,0)
                                -IF(VLOOKUP(Z$2,'TIS Site Config'!$A$3:$AQ$51,20,FALSE)&lt;=2,1,0)
                                -2)&lt;&gt;0),
                             VLOOKUP(Z$2,'TIS Site Config'!$A$3:$AQ$51,17,FALSE)
                                -IF(VLOOKUP(Z$2,'TIS Site Config'!$A$3:$AQ$51,19,FALSE)&lt;=2,1,0)
                                -IF(VLOOKUP(Z$2,'TIS Site Config'!$A$3:$AQ$51,20,FALSE)&lt;=2,1,0)
                                -2,0),0)</f>
        <v>0</v>
      </c>
      <c r="AA9" s="150">
        <f>IF(VLOOKUP(AA$2,'TIS Site Config'!$A$4:$AQ$51,3,FALSE)&lt;&gt;"Soft",
          IF(
          AND(OR(VLOOKUP(AA$2,'TIS Site Config'!$A$3:$AQ$51,6,FALSE)="Heated",
                             VLOOKUP(AA$2,'TIS Site Config'!$A$3:$AQ$51,6,FALSE)="Extreme Heated"),
             ( VLOOKUP(AA$2,'TIS Site Config'!$A$3:$AQ$51,17,FALSE)
                                -IF(VLOOKUP(AA$2,'TIS Site Config'!$A$3:$AQ$51,19,FALSE)&lt;=2,1,0)
                                -IF(VLOOKUP(AA$2,'TIS Site Config'!$A$3:$AQ$51,20,FALSE)&lt;=2,1,0)
                                -2)&lt;&gt;0),
                             VLOOKUP(AA$2,'TIS Site Config'!$A$3:$AQ$51,17,FALSE)
                                -IF(VLOOKUP(AA$2,'TIS Site Config'!$A$3:$AQ$51,19,FALSE)&lt;=2,1,0)
                                -IF(VLOOKUP(AA$2,'TIS Site Config'!$A$3:$AQ$51,20,FALSE)&lt;=2,1,0)
                                -2,0),0)</f>
        <v>3</v>
      </c>
      <c r="AB9" s="160">
        <f>IF(VLOOKUP(AB$2,'TIS Site Config'!$A$4:$AQ$51,3,FALSE)&lt;&gt;"Soft",
          IF(
          AND(OR(VLOOKUP(AB$2,'TIS Site Config'!$A$3:$AQ$51,6,FALSE)="Heated",
                             VLOOKUP(AB$2,'TIS Site Config'!$A$3:$AQ$51,6,FALSE)="Extreme Heated"),
             ( VLOOKUP(AB$2,'TIS Site Config'!$A$3:$AQ$51,17,FALSE)
                                -IF(VLOOKUP(AB$2,'TIS Site Config'!$A$3:$AQ$51,19,FALSE)&lt;=2,1,0)
                                -IF(VLOOKUP(AB$2,'TIS Site Config'!$A$3:$AQ$51,20,FALSE)&lt;=2,1,0)
                                -2)&lt;&gt;0),
                             VLOOKUP(AB$2,'TIS Site Config'!$A$3:$AQ$51,17,FALSE)
                                -IF(VLOOKUP(AB$2,'TIS Site Config'!$A$3:$AQ$51,19,FALSE)&lt;=2,1,0)
                                -IF(VLOOKUP(AB$2,'TIS Site Config'!$A$3:$AQ$51,20,FALSE)&lt;=2,1,0)
                                -2,0),0)</f>
        <v>0</v>
      </c>
      <c r="AC9" s="164">
        <f>IF(VLOOKUP(AC$2,'TIS Site Config'!$A$4:$AQ$51,3,FALSE)&lt;&gt;"Soft",
          IF(
          AND(OR(VLOOKUP(AC$2,'TIS Site Config'!$A$3:$AQ$51,6,FALSE)="Heated",
                             VLOOKUP(AC$2,'TIS Site Config'!$A$3:$AQ$51,6,FALSE)="Extreme Heated"),
             ( VLOOKUP(AC$2,'TIS Site Config'!$A$3:$AQ$51,17,FALSE)
                                -IF(VLOOKUP(AC$2,'TIS Site Config'!$A$3:$AQ$51,19,FALSE)&lt;=2,1,0)
                                -IF(VLOOKUP(AC$2,'TIS Site Config'!$A$3:$AQ$51,20,FALSE)&lt;=2,1,0)
                                -2)&lt;&gt;0),
                             VLOOKUP(AC$2,'TIS Site Config'!$A$3:$AQ$51,17,FALSE)
                                -IF(VLOOKUP(AC$2,'TIS Site Config'!$A$3:$AQ$51,19,FALSE)&lt;=2,1,0)
                                -IF(VLOOKUP(AC$2,'TIS Site Config'!$A$3:$AQ$51,20,FALSE)&lt;=2,1,0)
                                -2,0),0)</f>
        <v>3</v>
      </c>
      <c r="AD9" s="161">
        <f>IF(VLOOKUP(AD$2,'TIS Site Config'!$A$4:$AQ$51,3,FALSE)&lt;&gt;"Soft",
          IF(
          AND(OR(VLOOKUP(AD$2,'TIS Site Config'!$A$3:$AQ$51,6,FALSE)="Heated",
                             VLOOKUP(AD$2,'TIS Site Config'!$A$3:$AQ$51,6,FALSE)="Extreme Heated"),
             ( VLOOKUP(AD$2,'TIS Site Config'!$A$3:$AQ$51,17,FALSE)
                                -IF(VLOOKUP(AD$2,'TIS Site Config'!$A$3:$AQ$51,19,FALSE)&lt;=2,1,0)
                                -IF(VLOOKUP(AD$2,'TIS Site Config'!$A$3:$AQ$51,20,FALSE)&lt;=2,1,0)
                                -2)&lt;&gt;0),
                             VLOOKUP(AD$2,'TIS Site Config'!$A$3:$AQ$51,17,FALSE)
                                -IF(VLOOKUP(AD$2,'TIS Site Config'!$A$3:$AQ$51,19,FALSE)&lt;=2,1,0)
                                -IF(VLOOKUP(AD$2,'TIS Site Config'!$A$3:$AQ$51,20,FALSE)&lt;=2,1,0)
                                -2,0),0)</f>
        <v>3</v>
      </c>
      <c r="AE9" s="161">
        <f>IF(VLOOKUP(AE$2,'TIS Site Config'!$A$4:$AQ$51,3,FALSE)&lt;&gt;"Soft",
          IF(
          AND(OR(VLOOKUP(AE$2,'TIS Site Config'!$A$3:$AQ$51,6,FALSE)="Heated",
                             VLOOKUP(AE$2,'TIS Site Config'!$A$3:$AQ$51,6,FALSE)="Extreme Heated"),
             ( VLOOKUP(AE$2,'TIS Site Config'!$A$3:$AQ$51,17,FALSE)
                                -IF(VLOOKUP(AE$2,'TIS Site Config'!$A$3:$AQ$51,19,FALSE)&lt;=2,1,0)
                                -IF(VLOOKUP(AE$2,'TIS Site Config'!$A$3:$AQ$51,20,FALSE)&lt;=2,1,0)
                                -2)&lt;&gt;0),
                             VLOOKUP(AE$2,'TIS Site Config'!$A$3:$AQ$51,17,FALSE)
                                -IF(VLOOKUP(AE$2,'TIS Site Config'!$A$3:$AQ$51,19,FALSE)&lt;=2,1,0)
                                -IF(VLOOKUP(AE$2,'TIS Site Config'!$A$3:$AQ$51,20,FALSE)&lt;=2,1,0)
                                -2,0),0)</f>
        <v>3</v>
      </c>
      <c r="AF9" s="991">
        <f>IF(VLOOKUP(AF$2,'TIS Site Config'!$A$4:$AQ$51,3,FALSE)&lt;&gt;"Soft",
          IF(
          AND(OR(VLOOKUP(AF$2,'TIS Site Config'!$A$3:$AQ$51,6,FALSE)="Heated",
                             VLOOKUP(AF$2,'TIS Site Config'!$A$3:$AQ$51,6,FALSE)="Extreme Heated"),
             ( VLOOKUP(AF$2,'TIS Site Config'!$A$3:$AQ$51,17,FALSE)
                                -IF(VLOOKUP(AF$2,'TIS Site Config'!$A$3:$AQ$51,19,FALSE)&lt;=2,1,0)
                                -IF(VLOOKUP(AF$2,'TIS Site Config'!$A$3:$AQ$51,20,FALSE)&lt;=2,1,0)
                                -2)&lt;&gt;0),
                             VLOOKUP(AF$2,'TIS Site Config'!$A$3:$AQ$51,17,FALSE)
                                -IF(VLOOKUP(AF$2,'TIS Site Config'!$A$3:$AQ$51,19,FALSE)&lt;=2,1,0)
                                -IF(VLOOKUP(AF$2,'TIS Site Config'!$A$3:$AQ$51,20,FALSE)&lt;=2,1,0)
                                -2,0),0)</f>
        <v>0</v>
      </c>
      <c r="AG9" s="150">
        <f>IF(VLOOKUP(AG$2,'TIS Site Config'!$A$4:$AQ$51,3,FALSE)&lt;&gt;"Soft",
          IF(
          AND(OR(VLOOKUP(AG$2,'TIS Site Config'!$A$3:$AQ$51,6,FALSE)="Heated",
                             VLOOKUP(AG$2,'TIS Site Config'!$A$3:$AQ$51,6,FALSE)="Extreme Heated"),
             ( VLOOKUP(AG$2,'TIS Site Config'!$A$3:$AQ$51,17,FALSE)
                                -IF(VLOOKUP(AG$2,'TIS Site Config'!$A$3:$AQ$51,19,FALSE)&lt;=2,1,0)
                                -IF(VLOOKUP(AG$2,'TIS Site Config'!$A$3:$AQ$51,20,FALSE)&lt;=2,1,0)
                                -2)&lt;&gt;0),
                             VLOOKUP(AG$2,'TIS Site Config'!$A$3:$AQ$51,17,FALSE)
                                -IF(VLOOKUP(AG$2,'TIS Site Config'!$A$3:$AQ$51,19,FALSE)&lt;=2,1,0)
                                -IF(VLOOKUP(AG$2,'TIS Site Config'!$A$3:$AQ$51,20,FALSE)&lt;=2,1,0)
                                -2,0),0)</f>
        <v>0</v>
      </c>
      <c r="AH9" s="160">
        <f>IF(VLOOKUP(AH$2,'TIS Site Config'!$A$4:$AQ$51,3,FALSE)&lt;&gt;"Soft",
          IF(
          AND(OR(VLOOKUP(AH$2,'TIS Site Config'!$A$3:$AQ$51,6,FALSE)="Heated",
                             VLOOKUP(AH$2,'TIS Site Config'!$A$3:$AQ$51,6,FALSE)="Extreme Heated"),
             ( VLOOKUP(AH$2,'TIS Site Config'!$A$3:$AQ$51,17,FALSE)
                                -IF(VLOOKUP(AH$2,'TIS Site Config'!$A$3:$AQ$51,19,FALSE)&lt;=2,1,0)
                                -IF(VLOOKUP(AH$2,'TIS Site Config'!$A$3:$AQ$51,20,FALSE)&lt;=2,1,0)
                                -2)&lt;&gt;0),
                             VLOOKUP(AH$2,'TIS Site Config'!$A$3:$AQ$51,17,FALSE)
                                -IF(VLOOKUP(AH$2,'TIS Site Config'!$A$3:$AQ$51,19,FALSE)&lt;=2,1,0)
                                -IF(VLOOKUP(AH$2,'TIS Site Config'!$A$3:$AQ$51,20,FALSE)&lt;=2,1,0)
                                -2,0),0)</f>
        <v>0</v>
      </c>
      <c r="AI9" s="126">
        <f>IF(VLOOKUP(AI$2,'TIS Site Config'!$A$4:$AQ$51,3,FALSE)&lt;&gt;"Soft",
          IF(
          AND(OR(VLOOKUP(AI$2,'TIS Site Config'!$A$3:$AQ$51,6,FALSE)="Heated",
                             VLOOKUP(AI$2,'TIS Site Config'!$A$3:$AQ$51,6,FALSE)="Extreme Heated"),
             ( VLOOKUP(AI$2,'TIS Site Config'!$A$3:$AQ$51,17,FALSE)
                                -IF(VLOOKUP(AI$2,'TIS Site Config'!$A$3:$AQ$51,19,FALSE)&lt;=2,1,0)
                                -IF(VLOOKUP(AI$2,'TIS Site Config'!$A$3:$AQ$51,20,FALSE)&lt;=2,1,0)
                                -2)&lt;&gt;0),
                             VLOOKUP(AI$2,'TIS Site Config'!$A$3:$AQ$51,17,FALSE)
                                -IF(VLOOKUP(AI$2,'TIS Site Config'!$A$3:$AQ$51,19,FALSE)&lt;=2,1,0)
                                -IF(VLOOKUP(AI$2,'TIS Site Config'!$A$3:$AQ$51,20,FALSE)&lt;=2,1,0)
                                -2,0),0)</f>
        <v>0</v>
      </c>
      <c r="AJ9" s="150">
        <f>IF(VLOOKUP(AJ$2,'TIS Site Config'!$A$4:$AQ$51,3,FALSE)&lt;&gt;"Soft",
          IF(
          AND(OR(VLOOKUP(AJ$2,'TIS Site Config'!$A$3:$AQ$51,6,FALSE)="Heated",
                             VLOOKUP(AJ$2,'TIS Site Config'!$A$3:$AQ$51,6,FALSE)="Extreme Heated"),
             ( VLOOKUP(AJ$2,'TIS Site Config'!$A$3:$AQ$51,17,FALSE)
                                -IF(VLOOKUP(AJ$2,'TIS Site Config'!$A$3:$AQ$51,19,FALSE)&lt;=2,1,0)
                                -IF(VLOOKUP(AJ$2,'TIS Site Config'!$A$3:$AQ$51,20,FALSE)&lt;=2,1,0)
                                -2)&lt;&gt;0),
                             VLOOKUP(AJ$2,'TIS Site Config'!$A$3:$AQ$51,17,FALSE)
                                -IF(VLOOKUP(AJ$2,'TIS Site Config'!$A$3:$AQ$51,19,FALSE)&lt;=2,1,0)
                                -IF(VLOOKUP(AJ$2,'TIS Site Config'!$A$3:$AQ$51,20,FALSE)&lt;=2,1,0)
                                -2,0),0)</f>
        <v>0</v>
      </c>
      <c r="AK9" s="160">
        <f>IF(VLOOKUP(AK$2,'TIS Site Config'!$A$4:$AQ$51,3,FALSE)&lt;&gt;"Soft",
          IF(
          AND(OR(VLOOKUP(AK$2,'TIS Site Config'!$A$3:$AQ$51,6,FALSE)="Heated",
                             VLOOKUP(AK$2,'TIS Site Config'!$A$3:$AQ$51,6,FALSE)="Extreme Heated"),
             ( VLOOKUP(AK$2,'TIS Site Config'!$A$3:$AQ$51,17,FALSE)
                                -IF(VLOOKUP(AK$2,'TIS Site Config'!$A$3:$AQ$51,19,FALSE)&lt;=2,1,0)
                                -IF(VLOOKUP(AK$2,'TIS Site Config'!$A$3:$AQ$51,20,FALSE)&lt;=2,1,0)
                                -2)&lt;&gt;0),
                             VLOOKUP(AK$2,'TIS Site Config'!$A$3:$AQ$51,17,FALSE)
                                -IF(VLOOKUP(AK$2,'TIS Site Config'!$A$3:$AQ$51,19,FALSE)&lt;=2,1,0)
                                -IF(VLOOKUP(AK$2,'TIS Site Config'!$A$3:$AQ$51,20,FALSE)&lt;=2,1,0)
                                -2,0),0)</f>
        <v>0</v>
      </c>
      <c r="AL9" s="126">
        <f>IF(VLOOKUP(AL$2,'TIS Site Config'!$A$4:$AQ$51,3,FALSE)&lt;&gt;"Soft",
          IF(
          AND(OR(VLOOKUP(AL$2,'TIS Site Config'!$A$3:$AQ$51,6,FALSE)="Heated",
                             VLOOKUP(AL$2,'TIS Site Config'!$A$3:$AQ$51,6,FALSE)="Extreme Heated"),
             ( VLOOKUP(AL$2,'TIS Site Config'!$A$3:$AQ$51,17,FALSE)
                                -IF(VLOOKUP(AL$2,'TIS Site Config'!$A$3:$AQ$51,19,FALSE)&lt;=2,1,0)
                                -IF(VLOOKUP(AL$2,'TIS Site Config'!$A$3:$AQ$51,20,FALSE)&lt;=2,1,0)
                                -2)&lt;&gt;0),
                             VLOOKUP(AL$2,'TIS Site Config'!$A$3:$AQ$51,17,FALSE)
                                -IF(VLOOKUP(AL$2,'TIS Site Config'!$A$3:$AQ$51,19,FALSE)&lt;=2,1,0)
                                -IF(VLOOKUP(AL$2,'TIS Site Config'!$A$3:$AQ$51,20,FALSE)&lt;=2,1,0)
                                -2,0),0)</f>
        <v>0</v>
      </c>
      <c r="AM9" s="150">
        <f>IF(VLOOKUP(AM$2,'TIS Site Config'!$A$4:$AQ$51,3,FALSE)&lt;&gt;"Soft",
          IF(
          AND(OR(VLOOKUP(AM$2,'TIS Site Config'!$A$3:$AQ$51,6,FALSE)="Heated",
                             VLOOKUP(AM$2,'TIS Site Config'!$A$3:$AQ$51,6,FALSE)="Extreme Heated"),
             ( VLOOKUP(AM$2,'TIS Site Config'!$A$3:$AQ$51,17,FALSE)
                                -IF(VLOOKUP(AM$2,'TIS Site Config'!$A$3:$AQ$51,19,FALSE)&lt;=2,1,0)
                                -IF(VLOOKUP(AM$2,'TIS Site Config'!$A$3:$AQ$51,20,FALSE)&lt;=2,1,0)
                                -2)&lt;&gt;0),
                             VLOOKUP(AM$2,'TIS Site Config'!$A$3:$AQ$51,17,FALSE)
                                -IF(VLOOKUP(AM$2,'TIS Site Config'!$A$3:$AQ$51,19,FALSE)&lt;=2,1,0)
                                -IF(VLOOKUP(AM$2,'TIS Site Config'!$A$3:$AQ$51,20,FALSE)&lt;=2,1,0)
                                -2,0),0)</f>
        <v>0</v>
      </c>
      <c r="AN9" s="160">
        <f>IF(VLOOKUP(AN$2,'TIS Site Config'!$A$4:$AQ$51,3,FALSE)&lt;&gt;"Soft",
          IF(
          AND(OR(VLOOKUP(AN$2,'TIS Site Config'!$A$3:$AQ$51,6,FALSE)="Heated",
                             VLOOKUP(AN$2,'TIS Site Config'!$A$3:$AQ$51,6,FALSE)="Extreme Heated"),
             ( VLOOKUP(AN$2,'TIS Site Config'!$A$3:$AQ$51,17,FALSE)
                                -IF(VLOOKUP(AN$2,'TIS Site Config'!$A$3:$AQ$51,19,FALSE)&lt;=2,1,0)
                                -IF(VLOOKUP(AN$2,'TIS Site Config'!$A$3:$AQ$51,20,FALSE)&lt;=2,1,0)
                                -2)&lt;&gt;0),
                             VLOOKUP(AN$2,'TIS Site Config'!$A$3:$AQ$51,17,FALSE)
                                -IF(VLOOKUP(AN$2,'TIS Site Config'!$A$3:$AQ$51,19,FALSE)&lt;=2,1,0)
                                -IF(VLOOKUP(AN$2,'TIS Site Config'!$A$3:$AQ$51,20,FALSE)&lt;=2,1,0)
                                -2,0),0)</f>
        <v>2</v>
      </c>
      <c r="AO9" s="126">
        <f>IF(VLOOKUP(AO$2,'TIS Site Config'!$A$4:$AQ$51,3,FALSE)&lt;&gt;"Soft",
          IF(
          AND(OR(VLOOKUP(AO$2,'TIS Site Config'!$A$3:$AQ$51,6,FALSE)="Heated",
                             VLOOKUP(AO$2,'TIS Site Config'!$A$3:$AQ$51,6,FALSE)="Extreme Heated"),
             ( VLOOKUP(AO$2,'TIS Site Config'!$A$3:$AQ$51,17,FALSE)
                                -IF(VLOOKUP(AO$2,'TIS Site Config'!$A$3:$AQ$51,19,FALSE)&lt;=2,1,0)
                                -IF(VLOOKUP(AO$2,'TIS Site Config'!$A$3:$AQ$51,20,FALSE)&lt;=2,1,0)
                                -2)&lt;&gt;0),
                             VLOOKUP(AO$2,'TIS Site Config'!$A$3:$AQ$51,17,FALSE)
                                -IF(VLOOKUP(AO$2,'TIS Site Config'!$A$3:$AQ$51,19,FALSE)&lt;=2,1,0)
                                -IF(VLOOKUP(AO$2,'TIS Site Config'!$A$3:$AQ$51,20,FALSE)&lt;=2,1,0)
                                -2,0),0)</f>
        <v>2</v>
      </c>
      <c r="AP9" s="150">
        <f>IF(VLOOKUP(AP$2,'TIS Site Config'!$A$4:$AQ$51,3,FALSE)&lt;&gt;"Soft",
          IF(
          AND(OR(VLOOKUP(AP$2,'TIS Site Config'!$A$3:$AQ$51,6,FALSE)="Heated",
                             VLOOKUP(AP$2,'TIS Site Config'!$A$3:$AQ$51,6,FALSE)="Extreme Heated"),
             ( VLOOKUP(AP$2,'TIS Site Config'!$A$3:$AQ$51,17,FALSE)
                                -IF(VLOOKUP(AP$2,'TIS Site Config'!$A$3:$AQ$51,19,FALSE)&lt;=2,1,0)
                                -IF(VLOOKUP(AP$2,'TIS Site Config'!$A$3:$AQ$51,20,FALSE)&lt;=2,1,0)
                                -2)&lt;&gt;0),
                             VLOOKUP(AP$2,'TIS Site Config'!$A$3:$AQ$51,17,FALSE)
                                -IF(VLOOKUP(AP$2,'TIS Site Config'!$A$3:$AQ$51,19,FALSE)&lt;=2,1,0)
                                -IF(VLOOKUP(AP$2,'TIS Site Config'!$A$3:$AQ$51,20,FALSE)&lt;=2,1,0)
                                -2,0),0)</f>
        <v>0</v>
      </c>
      <c r="AQ9" s="131">
        <f>IF(VLOOKUP(AQ$2,'TIS Site Config'!$A$4:$AQ$51,3,FALSE)&lt;&gt;"Soft",
          IF(
          AND(OR(VLOOKUP(AQ$2,'TIS Site Config'!$A$3:$AQ$51,6,FALSE)="Heated",
                             VLOOKUP(AQ$2,'TIS Site Config'!$A$3:$AQ$51,6,FALSE)="Extreme Heated"),
             ( VLOOKUP(AQ$2,'TIS Site Config'!$A$3:$AQ$51,17,FALSE)
                                -IF(VLOOKUP(AQ$2,'TIS Site Config'!$A$3:$AQ$51,19,FALSE)&lt;=2,1,0)
                                -IF(VLOOKUP(AQ$2,'TIS Site Config'!$A$3:$AQ$51,20,FALSE)&lt;=2,1,0)
                                -2)&lt;&gt;0),
                             VLOOKUP(AQ$2,'TIS Site Config'!$A$3:$AQ$51,17,FALSE)
                                -IF(VLOOKUP(AQ$2,'TIS Site Config'!$A$3:$AQ$51,19,FALSE)&lt;=2,1,0)
                                -IF(VLOOKUP(AQ$2,'TIS Site Config'!$A$3:$AQ$51,20,FALSE)&lt;=2,1,0)
                                -2,0),0)</f>
        <v>3</v>
      </c>
      <c r="AR9" s="126">
        <f>IF(VLOOKUP(AR$2,'TIS Site Config'!$A$4:$AQ$51,3,FALSE)&lt;&gt;"Soft",
          IF(
          AND(OR(VLOOKUP(AR$2,'TIS Site Config'!$A$3:$AQ$51,6,FALSE)="Heated",
                             VLOOKUP(AR$2,'TIS Site Config'!$A$3:$AQ$51,6,FALSE)="Extreme Heated"),
             ( VLOOKUP(AR$2,'TIS Site Config'!$A$3:$AQ$51,17,FALSE)
                                -IF(VLOOKUP(AR$2,'TIS Site Config'!$A$3:$AQ$51,19,FALSE)&lt;=2,1,0)
                                -IF(VLOOKUP(AR$2,'TIS Site Config'!$A$3:$AQ$51,20,FALSE)&lt;=2,1,0)
                                -2)&lt;&gt;0),
                             VLOOKUP(AR$2,'TIS Site Config'!$A$3:$AQ$51,17,FALSE)
                                -IF(VLOOKUP(AR$2,'TIS Site Config'!$A$3:$AQ$51,19,FALSE)&lt;=2,1,0)
                                -IF(VLOOKUP(AR$2,'TIS Site Config'!$A$3:$AQ$51,20,FALSE)&lt;=2,1,0)
                                -2,0),0)</f>
        <v>0</v>
      </c>
      <c r="AS9" s="150">
        <f>IF(VLOOKUP(AS$2,'TIS Site Config'!$A$4:$AQ$51,3,FALSE)&lt;&gt;"Soft",
          IF(
          AND(OR(VLOOKUP(AS$2,'TIS Site Config'!$A$3:$AQ$51,6,FALSE)="Heated",
                             VLOOKUP(AS$2,'TIS Site Config'!$A$3:$AQ$51,6,FALSE)="Extreme Heated"),
             ( VLOOKUP(AS$2,'TIS Site Config'!$A$3:$AQ$51,17,FALSE)
                                -IF(VLOOKUP(AS$2,'TIS Site Config'!$A$3:$AQ$51,19,FALSE)&lt;=2,1,0)
                                -IF(VLOOKUP(AS$2,'TIS Site Config'!$A$3:$AQ$51,20,FALSE)&lt;=2,1,0)
                                -2)&lt;&gt;0),
                             VLOOKUP(AS$2,'TIS Site Config'!$A$3:$AQ$51,17,FALSE)
                                -IF(VLOOKUP(AS$2,'TIS Site Config'!$A$3:$AQ$51,19,FALSE)&lt;=2,1,0)
                                -IF(VLOOKUP(AS$2,'TIS Site Config'!$A$3:$AQ$51,20,FALSE)&lt;=2,1,0)
                                -2,0),0)</f>
        <v>0</v>
      </c>
      <c r="AT9" s="126">
        <f>IF(VLOOKUP(AT$2,'TIS Site Config'!$A$4:$AQ$51,3,FALSE)&lt;&gt;"Soft",
          IF(
          AND(OR(VLOOKUP(AT$2,'TIS Site Config'!$A$3:$AQ$51,6,FALSE)="Heated",
                             VLOOKUP(AT$2,'TIS Site Config'!$A$3:$AQ$51,6,FALSE)="Extreme Heated"),
             ( VLOOKUP(AT$2,'TIS Site Config'!$A$3:$AQ$51,17,FALSE)
                                -IF(VLOOKUP(AT$2,'TIS Site Config'!$A$3:$AQ$51,19,FALSE)&lt;=2,1,0)
                                -IF(VLOOKUP(AT$2,'TIS Site Config'!$A$3:$AQ$51,20,FALSE)&lt;=2,1,0)
                                -2)&lt;&gt;0),
                             VLOOKUP(AT$2,'TIS Site Config'!$A$3:$AQ$51,17,FALSE)
                                -IF(VLOOKUP(AT$2,'TIS Site Config'!$A$3:$AQ$51,19,FALSE)&lt;=2,1,0)
                                -IF(VLOOKUP(AT$2,'TIS Site Config'!$A$3:$AQ$51,20,FALSE)&lt;=2,1,0)
                                -2,0),0)</f>
        <v>0</v>
      </c>
      <c r="AU9" s="150">
        <f>IF(VLOOKUP(AU$2,'TIS Site Config'!$A$4:$AQ$51,3,FALSE)&lt;&gt;"Soft",
          IF(
          AND(OR(VLOOKUP(AU$2,'TIS Site Config'!$A$3:$AQ$51,6,FALSE)="Heated",
                             VLOOKUP(AU$2,'TIS Site Config'!$A$3:$AQ$51,6,FALSE)="Extreme Heated"),
             ( VLOOKUP(AU$2,'TIS Site Config'!$A$3:$AQ$51,17,FALSE)
                                -IF(VLOOKUP(AU$2,'TIS Site Config'!$A$3:$AQ$51,19,FALSE)&lt;=2,1,0)
                                -IF(VLOOKUP(AU$2,'TIS Site Config'!$A$3:$AQ$51,20,FALSE)&lt;=2,1,0)
                                -2)&lt;&gt;0),
                             VLOOKUP(AU$2,'TIS Site Config'!$A$3:$AQ$51,17,FALSE)
                                -IF(VLOOKUP(AU$2,'TIS Site Config'!$A$3:$AQ$51,19,FALSE)&lt;=2,1,0)
                                -IF(VLOOKUP(AU$2,'TIS Site Config'!$A$3:$AQ$51,20,FALSE)&lt;=2,1,0)
                                -2,0),0)</f>
        <v>0</v>
      </c>
      <c r="AV9" s="126">
        <f>IF(VLOOKUP(AV$2,'TIS Site Config'!$A$4:$AQ$51,3,FALSE)&lt;&gt;"Soft",
          IF(
          AND(OR(VLOOKUP(AV$2,'TIS Site Config'!$A$3:$AQ$51,6,FALSE)="Heated",
                             VLOOKUP(AV$2,'TIS Site Config'!$A$3:$AQ$51,6,FALSE)="Extreme Heated"),
             ( VLOOKUP(AV$2,'TIS Site Config'!$A$3:$AQ$51,17,FALSE)
                                -IF(VLOOKUP(AV$2,'TIS Site Config'!$A$3:$AQ$51,19,FALSE)&lt;=2,1,0)
                                -IF(VLOOKUP(AV$2,'TIS Site Config'!$A$3:$AQ$51,20,FALSE)&lt;=2,1,0)
                                -2)&lt;&gt;0),
                             VLOOKUP(AV$2,'TIS Site Config'!$A$3:$AQ$51,17,FALSE)
                                -IF(VLOOKUP(AV$2,'TIS Site Config'!$A$3:$AQ$51,19,FALSE)&lt;=2,1,0)
                                -IF(VLOOKUP(AV$2,'TIS Site Config'!$A$3:$AQ$51,20,FALSE)&lt;=2,1,0)
                                -2,0),0)</f>
        <v>0</v>
      </c>
      <c r="AW9" s="131">
        <f>IF(VLOOKUP(AW$2,'TIS Site Config'!$A$4:$AQ$51,3,FALSE)&lt;&gt;"Soft",
          IF(
          AND(OR(VLOOKUP(AW$2,'TIS Site Config'!$A$3:$AQ$51,6,FALSE)="Heated",
                             VLOOKUP(AW$2,'TIS Site Config'!$A$3:$AQ$51,6,FALSE)="Extreme Heated"),
             ( VLOOKUP(AW$2,'TIS Site Config'!$A$3:$AQ$51,17,FALSE)
                                -IF(VLOOKUP(AW$2,'TIS Site Config'!$A$3:$AQ$51,19,FALSE)&lt;=2,1,0)
                                -IF(VLOOKUP(AW$2,'TIS Site Config'!$A$3:$AQ$51,20,FALSE)&lt;=2,1,0)
                                -2)&lt;&gt;0),
                             VLOOKUP(AW$2,'TIS Site Config'!$A$3:$AQ$51,17,FALSE)
                                -IF(VLOOKUP(AW$2,'TIS Site Config'!$A$3:$AQ$51,19,FALSE)&lt;=2,1,0)
                                -IF(VLOOKUP(AW$2,'TIS Site Config'!$A$3:$AQ$51,20,FALSE)&lt;=2,1,0)
                                -2,0),0)</f>
        <v>6</v>
      </c>
      <c r="AX9" s="162">
        <f>IF(VLOOKUP(AX$2,'TIS Site Config'!$A$4:$AQ$51,3,FALSE)&lt;&gt;"Soft",
          IF(
          AND(OR(VLOOKUP(AX$2,'TIS Site Config'!$A$3:$AQ$51,6,FALSE)="Heated",
                             VLOOKUP(AX$2,'TIS Site Config'!$A$3:$AQ$51,6,FALSE)="Extreme Heated"),
             ( VLOOKUP(AX$2,'TIS Site Config'!$A$3:$AQ$51,17,FALSE)
                                -IF(VLOOKUP(AX$2,'TIS Site Config'!$A$3:$AQ$51,19,FALSE)&lt;=2,1,0)
                                -IF(VLOOKUP(AX$2,'TIS Site Config'!$A$3:$AQ$51,20,FALSE)&lt;=2,1,0)
                                -2)&lt;&gt;0),
                             VLOOKUP(AX$2,'TIS Site Config'!$A$3:$AQ$51,17,FALSE)
                                -IF(VLOOKUP(AX$2,'TIS Site Config'!$A$3:$AQ$51,19,FALSE)&lt;=2,1,0)
                                -IF(VLOOKUP(AX$2,'TIS Site Config'!$A$3:$AQ$51,20,FALSE)&lt;=2,1,0)
                                -2,0),0)</f>
        <v>1</v>
      </c>
      <c r="AY9" s="126">
        <f>IF(VLOOKUP(AY$2,'TIS Site Config'!$A$4:$AQ$51,3,FALSE)&lt;&gt;"Soft",
          IF(
          AND(OR(VLOOKUP(AY$2,'TIS Site Config'!$A$3:$AQ$51,6,FALSE)="Heated",
                             VLOOKUP(AY$2,'TIS Site Config'!$A$3:$AQ$51,6,FALSE)="Extreme Heated"),
             ( VLOOKUP(AY$2,'TIS Site Config'!$A$3:$AQ$51,17,FALSE)
                                -IF(VLOOKUP(AY$2,'TIS Site Config'!$A$3:$AQ$51,19,FALSE)&lt;=2,1,0)
                                -IF(VLOOKUP(AY$2,'TIS Site Config'!$A$3:$AQ$51,20,FALSE)&lt;=2,1,0)
                                -2)&lt;&gt;0),
                             VLOOKUP(AY$2,'TIS Site Config'!$A$3:$AQ$51,17,FALSE)
                                -IF(VLOOKUP(AY$2,'TIS Site Config'!$A$3:$AQ$51,19,FALSE)&lt;=2,1,0)
                                -IF(VLOOKUP(AY$2,'TIS Site Config'!$A$3:$AQ$51,20,FALSE)&lt;=2,1,0)
                                -2,0),0)</f>
        <v>2</v>
      </c>
      <c r="AZ9" s="150">
        <f>IF(VLOOKUP(AZ$2,'TIS Site Config'!$A$4:$AQ$51,3,FALSE)&lt;&gt;"Soft",
          IF(
          AND(OR(VLOOKUP(AZ$2,'TIS Site Config'!$A$3:$AQ$51,6,FALSE)="Heated",
                             VLOOKUP(AZ$2,'TIS Site Config'!$A$3:$AQ$51,6,FALSE)="Extreme Heated"),
             ( VLOOKUP(AZ$2,'TIS Site Config'!$A$3:$AQ$51,17,FALSE)
                                -IF(VLOOKUP(AZ$2,'TIS Site Config'!$A$3:$AQ$51,19,FALSE)&lt;=2,1,0)
                                -IF(VLOOKUP(AZ$2,'TIS Site Config'!$A$3:$AQ$51,20,FALSE)&lt;=2,1,0)
                                -2)&lt;&gt;0),
                             VLOOKUP(AZ$2,'TIS Site Config'!$A$3:$AQ$51,17,FALSE)
                                -IF(VLOOKUP(AZ$2,'TIS Site Config'!$A$3:$AQ$51,19,FALSE)&lt;=2,1,0)
                                -IF(VLOOKUP(AZ$2,'TIS Site Config'!$A$3:$AQ$51,20,FALSE)&lt;=2,1,0)
                                -2,0),0)</f>
        <v>3</v>
      </c>
      <c r="BA9" s="161">
        <f>IF(VLOOKUP(BA$2,'TIS Site Config'!$A$4:$AQ$51,3,FALSE)&lt;&gt;"Soft",
          IF(
          AND(OR(VLOOKUP(BA$2,'TIS Site Config'!$A$3:$AQ$51,6,FALSE)="Heated",
                             VLOOKUP(BA$2,'TIS Site Config'!$A$3:$AQ$51,6,FALSE)="Extreme Heated"),
             ( VLOOKUP(BA$2,'TIS Site Config'!$A$3:$AQ$51,17,FALSE)
                                -IF(VLOOKUP(BA$2,'TIS Site Config'!$A$3:$AQ$51,19,FALSE)&lt;=2,1,0)
                                -IF(VLOOKUP(BA$2,'TIS Site Config'!$A$3:$AQ$51,20,FALSE)&lt;=2,1,0)
                                -2)&lt;&gt;0),
                             VLOOKUP(BA$2,'TIS Site Config'!$A$3:$AQ$51,17,FALSE)
                                -IF(VLOOKUP(BA$2,'TIS Site Config'!$A$3:$AQ$51,19,FALSE)&lt;=2,1,0)
                                -IF(VLOOKUP(BA$2,'TIS Site Config'!$A$3:$AQ$51,20,FALSE)&lt;=2,1,0)
                                -2,0),0)</f>
        <v>4</v>
      </c>
      <c r="BB9" s="126">
        <f>IF(VLOOKUP(BB$2,'TIS Site Config'!$A$4:$AQ$51,3,FALSE)&lt;&gt;"Soft",
          IF(
          AND(OR(VLOOKUP(BB$2,'TIS Site Config'!$A$3:$AQ$51,6,FALSE)="Heated",
                             VLOOKUP(BB$2,'TIS Site Config'!$A$3:$AQ$51,6,FALSE)="Extreme Heated"),
             ( VLOOKUP(BB$2,'TIS Site Config'!$A$3:$AQ$51,17,FALSE)
                                -IF(VLOOKUP(BB$2,'TIS Site Config'!$A$3:$AQ$51,19,FALSE)&lt;=2,1,0)
                                -IF(VLOOKUP(BB$2,'TIS Site Config'!$A$3:$AQ$51,20,FALSE)&lt;=2,1,0)
                                -2)&lt;&gt;0),
                             VLOOKUP(BB$2,'TIS Site Config'!$A$3:$AQ$51,17,FALSE)
                                -IF(VLOOKUP(BB$2,'TIS Site Config'!$A$3:$AQ$51,19,FALSE)&lt;=2,1,0)
                                -IF(VLOOKUP(BB$2,'TIS Site Config'!$A$3:$AQ$51,20,FALSE)&lt;=2,1,0)
                                -2,0),0)</f>
        <v>0</v>
      </c>
      <c r="BC9" s="160">
        <f>IF(VLOOKUP(BC$2,'TIS Site Config'!$A$4:$AQ$51,3,FALSE)&lt;&gt;"Soft",
          IF(
          AND(OR(VLOOKUP(BC$2,'TIS Site Config'!$A$3:$AQ$51,6,FALSE)="Heated",
                             VLOOKUP(BC$2,'TIS Site Config'!$A$3:$AQ$51,6,FALSE)="Extreme Heated"),
             ( VLOOKUP(BC$2,'TIS Site Config'!$A$3:$AQ$51,17,FALSE)
                                -IF(VLOOKUP(BC$2,'TIS Site Config'!$A$3:$AQ$51,19,FALSE)&lt;=2,1,0)
                                -IF(VLOOKUP(BC$2,'TIS Site Config'!$A$3:$AQ$51,20,FALSE)&lt;=2,1,0)
                                -2)&lt;&gt;0),
                             VLOOKUP(BC$2,'TIS Site Config'!$A$3:$AQ$51,17,FALSE)
                                -IF(VLOOKUP(BC$2,'TIS Site Config'!$A$3:$AQ$51,19,FALSE)&lt;=2,1,0)
                                -IF(VLOOKUP(BC$2,'TIS Site Config'!$A$3:$AQ$51,20,FALSE)&lt;=2,1,0)
                                -2,0),0)</f>
        <v>0</v>
      </c>
      <c r="BD9" s="126">
        <f>IF(VLOOKUP(BD$2,'TIS Site Config'!$A$4:$AQ$51,3,FALSE)&lt;&gt;"Soft",
          IF(
          AND(OR(VLOOKUP(BD$2,'TIS Site Config'!$A$3:$AQ$51,6,FALSE)="Heated",
                             VLOOKUP(BD$2,'TIS Site Config'!$A$3:$AQ$51,6,FALSE)="Extreme Heated"),
             ( VLOOKUP(BD$2,'TIS Site Config'!$A$3:$AQ$51,17,FALSE)
                                -IF(VLOOKUP(BD$2,'TIS Site Config'!$A$3:$AQ$51,19,FALSE)&lt;=2,1,0)
                                -IF(VLOOKUP(BD$2,'TIS Site Config'!$A$3:$AQ$51,20,FALSE)&lt;=2,1,0)
                                -2)&lt;&gt;0),
                             VLOOKUP(BD$2,'TIS Site Config'!$A$3:$AQ$51,17,FALSE)
                                -IF(VLOOKUP(BD$2,'TIS Site Config'!$A$3:$AQ$51,19,FALSE)&lt;=2,1,0)
                                -IF(VLOOKUP(BD$2,'TIS Site Config'!$A$3:$AQ$51,20,FALSE)&lt;=2,1,0)
                                -2,0),0)</f>
        <v>1</v>
      </c>
      <c r="BE9" s="150">
        <f>IF(VLOOKUP(BE$2,'TIS Site Config'!$A$4:$AQ$51,3,FALSE)&lt;&gt;"Soft",
          IF(
          AND(OR(VLOOKUP(BE$2,'TIS Site Config'!$A$3:$AQ$51,6,FALSE)="Heated",
                             VLOOKUP(BE$2,'TIS Site Config'!$A$3:$AQ$51,6,FALSE)="Extreme Heated"),
             ( VLOOKUP(BE$2,'TIS Site Config'!$A$3:$AQ$51,17,FALSE)
                                -IF(VLOOKUP(BE$2,'TIS Site Config'!$A$3:$AQ$51,19,FALSE)&lt;=2,1,0)
                                -IF(VLOOKUP(BE$2,'TIS Site Config'!$A$3:$AQ$51,20,FALSE)&lt;=2,1,0)
                                -2)&lt;&gt;0),
                             VLOOKUP(BE$2,'TIS Site Config'!$A$3:$AQ$51,17,FALSE)
                                -IF(VLOOKUP(BE$2,'TIS Site Config'!$A$3:$AQ$51,19,FALSE)&lt;=2,1,0)
                                -IF(VLOOKUP(BE$2,'TIS Site Config'!$A$3:$AQ$51,20,FALSE)&lt;=2,1,0)
                                -2,0),0)</f>
        <v>1</v>
      </c>
      <c r="BF9" s="160">
        <f>IF(VLOOKUP(BF$2,'TIS Site Config'!$A$4:$AQ$51,3,FALSE)&lt;&gt;"Soft",
          IF(
          AND(OR(VLOOKUP(BF$2,'TIS Site Config'!$A$3:$AQ$51,6,FALSE)="Heated",
                             VLOOKUP(BF$2,'TIS Site Config'!$A$3:$AQ$51,6,FALSE)="Extreme Heated"),
             ( VLOOKUP(BF$2,'TIS Site Config'!$A$3:$AQ$51,17,FALSE)
                                -IF(VLOOKUP(BF$2,'TIS Site Config'!$A$3:$AQ$51,19,FALSE)&lt;=2,1,0)
                                -IF(VLOOKUP(BF$2,'TIS Site Config'!$A$3:$AQ$51,20,FALSE)&lt;=2,1,0)
                                -2)&lt;&gt;0),
                             VLOOKUP(BF$2,'TIS Site Config'!$A$3:$AQ$51,17,FALSE)
                                -IF(VLOOKUP(BF$2,'TIS Site Config'!$A$3:$AQ$51,19,FALSE)&lt;=2,1,0)
                                -IF(VLOOKUP(BF$2,'TIS Site Config'!$A$3:$AQ$51,20,FALSE)&lt;=2,1,0)
                                -2,0),0)</f>
        <v>0</v>
      </c>
      <c r="BG9" s="198">
        <f>IF(VLOOKUP(BG$2,'TIS Site Config'!$A$4:$AQ$51,3,FALSE)&lt;&gt;"Soft",
          IF(
          AND(OR(VLOOKUP(BG$2,'TIS Site Config'!$A$3:$AQ$51,6,FALSE)="Heated",
                             VLOOKUP(BG$2,'TIS Site Config'!$A$3:$AQ$51,6,FALSE)="Extreme Heated"),
             ( VLOOKUP(BG$2,'TIS Site Config'!$A$3:$AQ$51,17,FALSE)
                                -IF(VLOOKUP(BG$2,'TIS Site Config'!$A$3:$AQ$51,19,FALSE)&lt;=2,1,0)
                                -IF(VLOOKUP(BG$2,'TIS Site Config'!$A$3:$AQ$51,20,FALSE)&lt;=2,1,0)
                                -2)&lt;&gt;0),
                             VLOOKUP(BG$2,'TIS Site Config'!$A$3:$AQ$51,17,FALSE)
                                -IF(VLOOKUP(BG$2,'TIS Site Config'!$A$3:$AQ$51,19,FALSE)&lt;=2,1,0)
                                -IF(VLOOKUP(BG$2,'TIS Site Config'!$A$3:$AQ$51,20,FALSE)&lt;=2,1,0)
                                -2,0),0)</f>
        <v>0</v>
      </c>
      <c r="BH9" s="1074">
        <f>IF(VLOOKUP(BH$2,'TIS Site Config'!$A$4:$AQ$51,3,FALSE)&lt;&gt;"Soft",
          IF(
          AND(OR(VLOOKUP(BH$2,'TIS Site Config'!$A$3:$AQ$51,6,FALSE)="Heated",
                             VLOOKUP(BH$2,'TIS Site Config'!$A$3:$AQ$51,6,FALSE)="Extreme Heated"),
             ( VLOOKUP(BH$2,'TIS Site Config'!$A$3:$AQ$51,17,FALSE)
                                -IF(VLOOKUP(BH$2,'TIS Site Config'!$A$3:$AQ$51,19,FALSE)&lt;=2,1,0)
                                -IF(VLOOKUP(BH$2,'TIS Site Config'!$A$3:$AQ$51,20,FALSE)&lt;=2,1,0)
                                -2)&lt;&gt;0),
                             VLOOKUP(BH$2,'TIS Site Config'!$A$3:$AQ$51,17,FALSE)
                                -IF(VLOOKUP(BH$2,'TIS Site Config'!$A$3:$AQ$51,19,FALSE)&lt;=2,1,0)
                                -IF(VLOOKUP(BH$2,'TIS Site Config'!$A$3:$AQ$51,20,FALSE)&lt;=2,1,0)
                                -2,0),0)</f>
        <v>0</v>
      </c>
      <c r="BK9" s="3">
        <v>63</v>
      </c>
      <c r="BL9" s="950" t="b">
        <f t="shared" si="0"/>
        <v>0</v>
      </c>
      <c r="BO9" s="950"/>
    </row>
    <row r="10" spans="1:67" ht="15.75" thickBot="1" x14ac:dyDescent="0.3">
      <c r="A10" s="1366"/>
      <c r="B10" s="1364"/>
      <c r="C10" s="61" t="s">
        <v>184</v>
      </c>
      <c r="D10" s="62">
        <v>1</v>
      </c>
      <c r="E10" s="85" t="s">
        <v>289</v>
      </c>
      <c r="F10" s="62">
        <f t="shared" si="1"/>
        <v>152</v>
      </c>
      <c r="G10" s="450"/>
      <c r="H10" s="451"/>
      <c r="I10" s="451"/>
      <c r="J10" s="451"/>
      <c r="K10" s="452"/>
      <c r="L10" s="491"/>
      <c r="M10" s="131">
        <f>IF(VLOOKUP(M$2,'TIS Site Config'!$A$4:$AQ$51,3,FALSE)&lt;&gt;"Soft",
          IF(VLOOKUP(M$2,'TIS Site Config'!$A$3:$AQ$51,12,FALSE)&lt;&gt;"ERROR",
                    IF(VLOOKUP(M$2,'TIS Site Config'!$A$3:$AQ$51,12,FALSE)
                                         -SUM(M4:M7)
                                         -SUM(M8:M9)
                                         -SUM(M11:M12)&gt;0,
                                               VLOOKUP(M$2,'TIS Site Config'!$A$3:$AQ$51,12,FALSE)
                                                    -SUM(M4:M7)
                                                    -SUM(M8:M9)
                                                    -SUM(M11:M12),
          0),0),0)</f>
        <v>6</v>
      </c>
      <c r="N10" s="160">
        <f>IF(VLOOKUP(N$2,'TIS Site Config'!$A$4:$AQ$51,3,FALSE)&lt;&gt;"Soft",
          IF(VLOOKUP(N$2,'TIS Site Config'!$A$3:$AQ$51,12,FALSE)&lt;&gt;"ERROR",
                    IF(VLOOKUP(N$2,'TIS Site Config'!$A$3:$AQ$51,12,FALSE)
                                         -SUM(N4:N7)
                                         -SUM(N8:N9)
                                         -SUM(N11:N12)&gt;0,
                                               VLOOKUP(N$2,'TIS Site Config'!$A$3:$AQ$51,12,FALSE)
                                                    -SUM(N4:N7)
                                                    -SUM(N8:N9)
                                                    -SUM(N11:N12),
          0),0),0)</f>
        <v>5</v>
      </c>
      <c r="O10" s="152">
        <f>IF(VLOOKUP(O$2,'TIS Site Config'!$A$4:$AQ$51,3,FALSE)&lt;&gt;"Soft",
          IF(VLOOKUP(O$2,'TIS Site Config'!$A$3:$AQ$51,12,FALSE)&lt;&gt;"ERROR",
                    IF(VLOOKUP(O$2,'TIS Site Config'!$A$3:$AQ$51,12,FALSE)
                                         -SUM(O4:O7)
                                         -SUM(O8:O9)
                                         -SUM(O11:O12)&gt;0,
                                               VLOOKUP(O$2,'TIS Site Config'!$A$3:$AQ$51,12,FALSE)
                                                    -SUM(O4:O7)
                                                    -SUM(O8:O9)
                                                    -SUM(O11:O12),
          0),0),0)</f>
        <v>10</v>
      </c>
      <c r="P10" s="150">
        <f>IF(VLOOKUP(P$2,'TIS Site Config'!$A$4:$AQ$51,3,FALSE)&lt;&gt;"Soft",
          IF(VLOOKUP(P$2,'TIS Site Config'!$A$3:$AQ$51,12,FALSE)&lt;&gt;"ERROR",
                    IF(VLOOKUP(P$2,'TIS Site Config'!$A$3:$AQ$51,12,FALSE)
                                         -SUM(P4:P7)
                                         -SUM(P8:P9)
                                         -SUM(P11:P12)&gt;0,
                                               VLOOKUP(P$2,'TIS Site Config'!$A$3:$AQ$51,12,FALSE)
                                                    -SUM(P4:P7)
                                                    -SUM(P8:P9)
                                                    -SUM(P11:P12),
          0),0),0)</f>
        <v>13</v>
      </c>
      <c r="Q10" s="160">
        <f>IF(VLOOKUP(Q$2,'TIS Site Config'!$A$4:$AQ$51,3,FALSE)&lt;&gt;"Soft",
          IF(VLOOKUP(Q$2,'TIS Site Config'!$A$3:$AQ$51,12,FALSE)&lt;&gt;"ERROR",
                    IF(VLOOKUP(Q$2,'TIS Site Config'!$A$3:$AQ$51,12,FALSE)
                                         -SUM(Q4:Q7)
                                         -SUM(Q8:Q9)
                                         -SUM(Q11:Q12)&gt;0,
                                               VLOOKUP(Q$2,'TIS Site Config'!$A$3:$AQ$51,12,FALSE)
                                                    -SUM(Q4:Q7)
                                                    -SUM(Q8:Q9)
                                                    -SUM(Q11:Q12),
          0),0),0)</f>
        <v>0</v>
      </c>
      <c r="R10" s="126">
        <f>IF(VLOOKUP(R$2,'TIS Site Config'!$A$4:$AQ$51,3,FALSE)&lt;&gt;"Soft",
          IF(VLOOKUP(R$2,'TIS Site Config'!$A$3:$AQ$51,12,FALSE)&lt;&gt;"ERROR",
                    IF(VLOOKUP(R$2,'TIS Site Config'!$A$3:$AQ$51,12,FALSE)
                                         -SUM(R4:R7)
                                         -SUM(R8:R9)
                                         -SUM(R11:R12)&gt;0,
                                               VLOOKUP(R$2,'TIS Site Config'!$A$3:$AQ$51,12,FALSE)
                                                    -SUM(R4:R7)
                                                    -SUM(R8:R9)
                                                    -SUM(R11:R12),
          0),0),0)</f>
        <v>5</v>
      </c>
      <c r="S10" s="150">
        <f>IF(VLOOKUP(S$2,'TIS Site Config'!$A$4:$AQ$51,3,FALSE)&lt;&gt;"Soft",
          IF(VLOOKUP(S$2,'TIS Site Config'!$A$3:$AQ$51,12,FALSE)&lt;&gt;"ERROR",
                    IF(VLOOKUP(S$2,'TIS Site Config'!$A$3:$AQ$51,12,FALSE)
                                         -SUM(S4:S7)
                                         -SUM(S8:S9)
                                         -SUM(S11:S12)&gt;0,
                                               VLOOKUP(S$2,'TIS Site Config'!$A$3:$AQ$51,12,FALSE)
                                                    -SUM(S4:S7)
                                                    -SUM(S8:S9)
                                                    -SUM(S11:S12),
          0),0),0)</f>
        <v>0</v>
      </c>
      <c r="T10" s="160">
        <f>IF(VLOOKUP(T$2,'TIS Site Config'!$A$4:$AQ$51,3,FALSE)&lt;&gt;"Soft",
          IF(VLOOKUP(T$2,'TIS Site Config'!$A$3:$AQ$51,12,FALSE)&lt;&gt;"ERROR",
                    IF(VLOOKUP(T$2,'TIS Site Config'!$A$3:$AQ$51,12,FALSE)
                                         -SUM(T4:T7)
                                         -SUM(T8:T9)
                                         -SUM(T11:T12)&gt;0,
                                               VLOOKUP(T$2,'TIS Site Config'!$A$3:$AQ$51,12,FALSE)
                                                    -SUM(T4:T7)
                                                    -SUM(T8:T9)
                                                    -SUM(T11:T12),
          0),0),0)</f>
        <v>7</v>
      </c>
      <c r="U10" s="126">
        <f>IF(VLOOKUP(U$2,'TIS Site Config'!$A$4:$AQ$51,3,FALSE)&lt;&gt;"Soft",
          IF(VLOOKUP(U$2,'TIS Site Config'!$A$3:$AQ$51,12,FALSE)&lt;&gt;"ERROR",
                    IF(VLOOKUP(U$2,'TIS Site Config'!$A$3:$AQ$51,12,FALSE)
                                         -SUM(U4:U7)
                                         -SUM(U8:U9)
                                         -SUM(U11:U12)&gt;0,
                                               VLOOKUP(U$2,'TIS Site Config'!$A$3:$AQ$51,12,FALSE)
                                                    -SUM(U4:U7)
                                                    -SUM(U8:U9)
                                                    -SUM(U11:U12),
          0),0),0)</f>
        <v>2</v>
      </c>
      <c r="V10" s="160">
        <f>IF(VLOOKUP(V$2,'TIS Site Config'!$A$4:$AQ$51,3,FALSE)&lt;&gt;"Soft",
          IF(VLOOKUP(V$2,'TIS Site Config'!$A$3:$AQ$51,12,FALSE)&lt;&gt;"ERROR",
                    IF(VLOOKUP(V$2,'TIS Site Config'!$A$3:$AQ$51,12,FALSE)
                                         -SUM(V4:V7)
                                         -SUM(V8:V9)
                                         -SUM(V11:V12)&gt;0,
                                               VLOOKUP(V$2,'TIS Site Config'!$A$3:$AQ$51,12,FALSE)
                                                    -SUM(V4:V7)
                                                    -SUM(V8:V9)
                                                    -SUM(V11:V12),
          0),0),0)</f>
        <v>0</v>
      </c>
      <c r="W10" s="163">
        <f>IF(VLOOKUP(W$2,'TIS Site Config'!$A$4:$AQ$51,3,FALSE)&lt;&gt;"Soft",
          IF(VLOOKUP(W$2,'TIS Site Config'!$A$3:$AQ$51,12,FALSE)&lt;&gt;"ERROR",
                    IF(VLOOKUP(W$2,'TIS Site Config'!$A$3:$AQ$51,12,FALSE)
                                         -SUM(W4:W7)
                                         -SUM(W8:W9)
                                         -SUM(W11:W12)&gt;0,
                                               VLOOKUP(W$2,'TIS Site Config'!$A$3:$AQ$51,12,FALSE)
                                                    -SUM(W4:W7)
                                                    -SUM(W8:W9)
                                                    -SUM(W11:W12),
          0),0),0)</f>
        <v>5</v>
      </c>
      <c r="X10" s="165">
        <f>IF(VLOOKUP(X$2,'TIS Site Config'!$A$4:$AQ$51,3,FALSE)&lt;&gt;"Soft",
          IF(VLOOKUP(X$2,'TIS Site Config'!$A$3:$AQ$51,12,FALSE)&lt;&gt;"ERROR",
                    IF(VLOOKUP(X$2,'TIS Site Config'!$A$3:$AQ$51,12,FALSE)
                                         -SUM(X4:X7)
                                         -SUM(X8:X9)
                                         -SUM(X11:X12)&gt;0,
                                               VLOOKUP(X$2,'TIS Site Config'!$A$3:$AQ$51,12,FALSE)
                                                    -SUM(X4:X7)
                                                    -SUM(X8:X9)
                                                    -SUM(X11:X12),
          0),0),0)</f>
        <v>1</v>
      </c>
      <c r="Y10" s="162">
        <f>IF(VLOOKUP(Y$2,'TIS Site Config'!$A$4:$AQ$51,3,FALSE)&lt;&gt;"Soft",
          IF(VLOOKUP(Y$2,'TIS Site Config'!$A$3:$AQ$51,12,FALSE)&lt;&gt;"ERROR",
                    IF(VLOOKUP(Y$2,'TIS Site Config'!$A$3:$AQ$51,12,FALSE)
                                         -SUM(Y4:Y7)
                                         -SUM(Y8:Y9)
                                         -SUM(Y11:Y12)&gt;0,
                                               VLOOKUP(Y$2,'TIS Site Config'!$A$3:$AQ$51,12,FALSE)
                                                    -SUM(Y4:Y7)
                                                    -SUM(Y8:Y9)
                                                    -SUM(Y11:Y12),
          0),0),0)</f>
        <v>5</v>
      </c>
      <c r="Z10" s="126">
        <f>IF(VLOOKUP(Z$2,'TIS Site Config'!$A$4:$AQ$51,3,FALSE)&lt;&gt;"Soft",
          IF(VLOOKUP(Z$2,'TIS Site Config'!$A$3:$AQ$51,12,FALSE)&lt;&gt;"ERROR",
                    IF(VLOOKUP(Z$2,'TIS Site Config'!$A$3:$AQ$51,12,FALSE)
                                         -SUM(Z4:Z7)
                                         -SUM(Z8:Z9)
                                         -SUM(Z11:Z12)&gt;0,
                                               VLOOKUP(Z$2,'TIS Site Config'!$A$3:$AQ$51,12,FALSE)
                                                    -SUM(Z4:Z7)
                                                    -SUM(Z8:Z9)
                                                    -SUM(Z11:Z12),
          0),0),0)</f>
        <v>0</v>
      </c>
      <c r="AA10" s="150">
        <f>IF(VLOOKUP(AA$2,'TIS Site Config'!$A$4:$AQ$51,3,FALSE)&lt;&gt;"Soft",
          IF(VLOOKUP(AA$2,'TIS Site Config'!$A$3:$AQ$51,12,FALSE)&lt;&gt;"ERROR",
                    IF(VLOOKUP(AA$2,'TIS Site Config'!$A$3:$AQ$51,12,FALSE)
                                         -SUM(AA4:AA7)
                                         -SUM(AA8:AA9)
                                         -SUM(AA11:AA12)&gt;0,
                                               VLOOKUP(AA$2,'TIS Site Config'!$A$3:$AQ$51,12,FALSE)
                                                    -SUM(AA4:AA7)
                                                    -SUM(AA8:AA9)
                                                    -SUM(AA11:AA12),
          0),0),0)</f>
        <v>5</v>
      </c>
      <c r="AB10" s="160">
        <f>IF(VLOOKUP(AB$2,'TIS Site Config'!$A$4:$AQ$51,3,FALSE)&lt;&gt;"Soft",
          IF(VLOOKUP(AB$2,'TIS Site Config'!$A$3:$AQ$51,12,FALSE)&lt;&gt;"ERROR",
                    IF(VLOOKUP(AB$2,'TIS Site Config'!$A$3:$AQ$51,12,FALSE)
                                         -SUM(AB4:AB7)
                                         -SUM(AB8:AB9)
                                         -SUM(AB11:AB12)&gt;0,
                                               VLOOKUP(AB$2,'TIS Site Config'!$A$3:$AQ$51,12,FALSE)
                                                    -SUM(AB4:AB7)
                                                    -SUM(AB8:AB9)
                                                    -SUM(AB11:AB12),
          0),0),0)</f>
        <v>0</v>
      </c>
      <c r="AC10" s="150">
        <f>IF(VLOOKUP(AC$2,'TIS Site Config'!$A$4:$AQ$51,3,FALSE)&lt;&gt;"Soft",
          IF(VLOOKUP(AC$2,'TIS Site Config'!$A$3:$AQ$51,12,FALSE)&lt;&gt;"ERROR",
                    IF(VLOOKUP(AC$2,'TIS Site Config'!$A$3:$AQ$51,12,FALSE)
                                         -SUM(AC4:AC7)
                                         -SUM(AC8:AC9)
                                         -SUM(AC11:AC12)&gt;0,
                                               VLOOKUP(AC$2,'TIS Site Config'!$A$3:$AQ$51,12,FALSE)
                                                    -SUM(AC4:AC7)
                                                    -SUM(AC8:AC9)
                                                    -SUM(AC11:AC12),
          0),0),0)</f>
        <v>6</v>
      </c>
      <c r="AD10" s="161">
        <f>IF(VLOOKUP(AD$2,'TIS Site Config'!$A$4:$AQ$51,3,FALSE)&lt;&gt;"Soft",
          IF(VLOOKUP(AD$2,'TIS Site Config'!$A$3:$AQ$51,12,FALSE)&lt;&gt;"ERROR",
                    IF(VLOOKUP(AD$2,'TIS Site Config'!$A$3:$AQ$51,12,FALSE)
                                         -SUM(AD4:AD7)
                                         -SUM(AD8:AD9)
                                         -SUM(AD11:AD12)&gt;0,
                                               VLOOKUP(AD$2,'TIS Site Config'!$A$3:$AQ$51,12,FALSE)
                                                    -SUM(AD4:AD7)
                                                    -SUM(AD8:AD9)
                                                    -SUM(AD11:AD12),
          0),0),0)</f>
        <v>3</v>
      </c>
      <c r="AE10" s="161">
        <f>IF(VLOOKUP(AE$2,'TIS Site Config'!$A$4:$AQ$51,3,FALSE)&lt;&gt;"Soft",
          IF(VLOOKUP(AE$2,'TIS Site Config'!$A$3:$AQ$51,12,FALSE)&lt;&gt;"ERROR",
                    IF(VLOOKUP(AE$2,'TIS Site Config'!$A$3:$AQ$51,12,FALSE)
                                         -SUM(AE4:AE7)
                                         -SUM(AE8:AE9)
                                         -SUM(AE11:AE12)&gt;0,
                                               VLOOKUP(AE$2,'TIS Site Config'!$A$3:$AQ$51,12,FALSE)
                                                    -SUM(AE4:AE7)
                                                    -SUM(AE8:AE9)
                                                    -SUM(AE11:AE12),
          0),0),0)</f>
        <v>8</v>
      </c>
      <c r="AF10" s="991">
        <f>IF(VLOOKUP(AF$2,'TIS Site Config'!$A$4:$AQ$51,3,FALSE)&lt;&gt;"Soft",
          IF(VLOOKUP(AF$2,'TIS Site Config'!$A$3:$AQ$51,12,FALSE)&lt;&gt;"ERROR",
                    IF(VLOOKUP(AF$2,'TIS Site Config'!$A$3:$AQ$51,12,FALSE)
                                         -SUM(AF4:AF7)
                                         -SUM(AF8:AF9)
                                         -SUM(AF11:AF12)&gt;0,
                                               VLOOKUP(AF$2,'TIS Site Config'!$A$3:$AQ$51,12,FALSE)
                                                    -SUM(AF4:AF7)
                                                    -SUM(AF8:AF9)
                                                    -SUM(AF11:AF12),
          0),0),0)</f>
        <v>6</v>
      </c>
      <c r="AG10" s="150">
        <f>IF(VLOOKUP(AG$2,'TIS Site Config'!$A$4:$AQ$51,3,FALSE)&lt;&gt;"Soft",
          IF(VLOOKUP(AG$2,'TIS Site Config'!$A$3:$AQ$51,12,FALSE)&lt;&gt;"ERROR",
                    IF(VLOOKUP(AG$2,'TIS Site Config'!$A$3:$AQ$51,12,FALSE)
                                         -SUM(AG4:AG7)
                                         -SUM(AG8:AG9)
                                         -SUM(AG11:AG12)&gt;0,
                                               VLOOKUP(AG$2,'TIS Site Config'!$A$3:$AQ$51,12,FALSE)
                                                    -SUM(AG4:AG7)
                                                    -SUM(AG8:AG9)
                                                    -SUM(AG11:AG12),
          0),0),0)</f>
        <v>7</v>
      </c>
      <c r="AH10" s="160">
        <f>IF(VLOOKUP(AH$2,'TIS Site Config'!$A$4:$AQ$51,3,FALSE)&lt;&gt;"Soft",
          IF(VLOOKUP(AH$2,'TIS Site Config'!$A$3:$AQ$51,12,FALSE)&lt;&gt;"ERROR",
                    IF(VLOOKUP(AH$2,'TIS Site Config'!$A$3:$AQ$51,12,FALSE)
                                         -SUM(AH4:AH7)
                                         -SUM(AH8:AH9)
                                         -SUM(AH11:AH12)&gt;0,
                                               VLOOKUP(AH$2,'TIS Site Config'!$A$3:$AQ$51,12,FALSE)
                                                    -SUM(AH4:AH7)
                                                    -SUM(AH8:AH9)
                                                    -SUM(AH11:AH12),
          0),0),0)</f>
        <v>8</v>
      </c>
      <c r="AI10" s="126">
        <f>IF(VLOOKUP(AI$2,'TIS Site Config'!$A$4:$AQ$51,3,FALSE)&lt;&gt;"Soft",
          IF(VLOOKUP(AI$2,'TIS Site Config'!$A$3:$AQ$51,12,FALSE)&lt;&gt;"ERROR",
                    IF(VLOOKUP(AI$2,'TIS Site Config'!$A$3:$AQ$51,12,FALSE)
                                         -SUM(AI4:AI7)
                                         -SUM(AI8:AI9)
                                         -SUM(AI11:AI12)&gt;0,
                                               VLOOKUP(AI$2,'TIS Site Config'!$A$3:$AQ$51,12,FALSE)
                                                    -SUM(AI4:AI7)
                                                    -SUM(AI8:AI9)
                                                    -SUM(AI11:AI12),
          0),0),0)</f>
        <v>0</v>
      </c>
      <c r="AJ10" s="150">
        <f>IF(VLOOKUP(AJ$2,'TIS Site Config'!$A$4:$AQ$51,3,FALSE)&lt;&gt;"Soft",
          IF(VLOOKUP(AJ$2,'TIS Site Config'!$A$3:$AQ$51,12,FALSE)&lt;&gt;"ERROR",
                    IF(VLOOKUP(AJ$2,'TIS Site Config'!$A$3:$AQ$51,12,FALSE)
                                         -SUM(AJ4:AJ7)
                                         -SUM(AJ8:AJ9)
                                         -SUM(AJ11:AJ12)&gt;0,
                                               VLOOKUP(AJ$2,'TIS Site Config'!$A$3:$AQ$51,12,FALSE)
                                                    -SUM(AJ4:AJ7)
                                                    -SUM(AJ8:AJ9)
                                                    -SUM(AJ11:AJ12),
          0),0),0)</f>
        <v>0</v>
      </c>
      <c r="AK10" s="160">
        <f>IF(VLOOKUP(AK$2,'TIS Site Config'!$A$4:$AQ$51,3,FALSE)&lt;&gt;"Soft",
          IF(VLOOKUP(AK$2,'TIS Site Config'!$A$3:$AQ$51,12,FALSE)&lt;&gt;"ERROR",
                    IF(VLOOKUP(AK$2,'TIS Site Config'!$A$3:$AQ$51,12,FALSE)
                                         -SUM(AK4:AK7)
                                         -SUM(AK8:AK9)
                                         -SUM(AK11:AK12)&gt;0,
                                               VLOOKUP(AK$2,'TIS Site Config'!$A$3:$AQ$51,12,FALSE)
                                                    -SUM(AK4:AK7)
                                                    -SUM(AK8:AK9)
                                                    -SUM(AK11:AK12),
          0),0),0)</f>
        <v>0</v>
      </c>
      <c r="AL10" s="126">
        <f>IF(VLOOKUP(AL$2,'TIS Site Config'!$A$4:$AQ$51,3,FALSE)&lt;&gt;"Soft",
          IF(VLOOKUP(AL$2,'TIS Site Config'!$A$3:$AQ$51,12,FALSE)&lt;&gt;"ERROR",
                    IF(VLOOKUP(AL$2,'TIS Site Config'!$A$3:$AQ$51,12,FALSE)
                                         -SUM(AL4:AL7)
                                         -SUM(AL8:AL9)
                                         -SUM(AL11:AL12)&gt;0,
                                               VLOOKUP(AL$2,'TIS Site Config'!$A$3:$AQ$51,12,FALSE)
                                                    -SUM(AL4:AL7)
                                                    -SUM(AL8:AL9)
                                                    -SUM(AL11:AL12),
          0),0),0)</f>
        <v>0</v>
      </c>
      <c r="AM10" s="150">
        <f>IF(VLOOKUP(AM$2,'TIS Site Config'!$A$4:$AQ$51,3,FALSE)&lt;&gt;"Soft",
          IF(VLOOKUP(AM$2,'TIS Site Config'!$A$3:$AQ$51,12,FALSE)&lt;&gt;"ERROR",
                    IF(VLOOKUP(AM$2,'TIS Site Config'!$A$3:$AQ$51,12,FALSE)
                                         -SUM(AM4:AM7)
                                         -SUM(AM8:AM9)
                                         -SUM(AM11:AM12)&gt;0,
                                               VLOOKUP(AM$2,'TIS Site Config'!$A$3:$AQ$51,12,FALSE)
                                                    -SUM(AM4:AM7)
                                                    -SUM(AM8:AM9)
                                                    -SUM(AM11:AM12),
          0),0),0)</f>
        <v>0</v>
      </c>
      <c r="AN10" s="160">
        <f>IF(VLOOKUP(AN$2,'TIS Site Config'!$A$4:$AQ$51,3,FALSE)&lt;&gt;"Soft",
          IF(VLOOKUP(AN$2,'TIS Site Config'!$A$3:$AQ$51,12,FALSE)&lt;&gt;"ERROR",
                    IF(VLOOKUP(AN$2,'TIS Site Config'!$A$3:$AQ$51,12,FALSE)
                                         -SUM(AN4:AN7)
                                         -SUM(AN8:AN9)
                                         -SUM(AN11:AN12)&gt;0,
                                               VLOOKUP(AN$2,'TIS Site Config'!$A$3:$AQ$51,12,FALSE)
                                                    -SUM(AN4:AN7)
                                                    -SUM(AN8:AN9)
                                                    -SUM(AN11:AN12),
          0),0),0)</f>
        <v>3</v>
      </c>
      <c r="AO10" s="126">
        <f>IF(VLOOKUP(AO$2,'TIS Site Config'!$A$4:$AQ$51,3,FALSE)&lt;&gt;"Soft",
          IF(VLOOKUP(AO$2,'TIS Site Config'!$A$3:$AQ$51,12,FALSE)&lt;&gt;"ERROR",
                    IF(VLOOKUP(AO$2,'TIS Site Config'!$A$3:$AQ$51,12,FALSE)
                                         -SUM(AO4:AO7)
                                         -SUM(AO8:AO9)
                                         -SUM(AO11:AO12)&gt;0,
                                               VLOOKUP(AO$2,'TIS Site Config'!$A$3:$AQ$51,12,FALSE)
                                                    -SUM(AO4:AO7)
                                                    -SUM(AO8:AO9)
                                                    -SUM(AO11:AO12),
          0),0),0)</f>
        <v>2</v>
      </c>
      <c r="AP10" s="150">
        <f>IF(VLOOKUP(AP$2,'TIS Site Config'!$A$4:$AQ$51,3,FALSE)&lt;&gt;"Soft",
          IF(VLOOKUP(AP$2,'TIS Site Config'!$A$3:$AQ$51,12,FALSE)&lt;&gt;"ERROR",
                    IF(VLOOKUP(AP$2,'TIS Site Config'!$A$3:$AQ$51,12,FALSE)
                                         -SUM(AP4:AP7)
                                         -SUM(AP8:AP9)
                                         -SUM(AP11:AP12)&gt;0,
                                               VLOOKUP(AP$2,'TIS Site Config'!$A$3:$AQ$51,12,FALSE)
                                                    -SUM(AP4:AP7)
                                                    -SUM(AP8:AP9)
                                                    -SUM(AP11:AP12),
          0),0),0)</f>
        <v>0</v>
      </c>
      <c r="AQ10" s="131">
        <f>IF(VLOOKUP(AQ$2,'TIS Site Config'!$A$4:$AQ$51,3,FALSE)&lt;&gt;"Soft",
          IF(VLOOKUP(AQ$2,'TIS Site Config'!$A$3:$AQ$51,12,FALSE)&lt;&gt;"ERROR",
                    IF(VLOOKUP(AQ$2,'TIS Site Config'!$A$3:$AQ$51,12,FALSE)
                                         -SUM(AQ4:AQ7)
                                         -SUM(AQ8:AQ9)
                                         -SUM(AQ11:AQ12)&gt;0,
                                               VLOOKUP(AQ$2,'TIS Site Config'!$A$3:$AQ$51,12,FALSE)
                                                    -SUM(AQ4:AQ7)
                                                    -SUM(AQ8:AQ9)
                                                    -SUM(AQ11:AQ12),
          0),0),0)</f>
        <v>1</v>
      </c>
      <c r="AR10" s="126">
        <f>IF(VLOOKUP(AR$2,'TIS Site Config'!$A$4:$AQ$51,3,FALSE)&lt;&gt;"Soft",
          IF(VLOOKUP(AR$2,'TIS Site Config'!$A$3:$AQ$51,12,FALSE)&lt;&gt;"ERROR",
                    IF(VLOOKUP(AR$2,'TIS Site Config'!$A$3:$AQ$51,12,FALSE)
                                         -SUM(AR4:AR7)
                                         -SUM(AR8:AR9)
                                         -SUM(AR11:AR12)&gt;0,
                                               VLOOKUP(AR$2,'TIS Site Config'!$A$3:$AQ$51,12,FALSE)
                                                    -SUM(AR4:AR7)
                                                    -SUM(AR8:AR9)
                                                    -SUM(AR11:AR12),
          0),0),0)</f>
        <v>0</v>
      </c>
      <c r="AS10" s="150">
        <f>IF(VLOOKUP(AS$2,'TIS Site Config'!$A$4:$AQ$51,3,FALSE)&lt;&gt;"Soft",
          IF(VLOOKUP(AS$2,'TIS Site Config'!$A$3:$AQ$51,12,FALSE)&lt;&gt;"ERROR",
                    IF(VLOOKUP(AS$2,'TIS Site Config'!$A$3:$AQ$51,12,FALSE)
                                         -SUM(AS4:AS7)
                                         -SUM(AS8:AS9)
                                         -SUM(AS11:AS12)&gt;0,
                                               VLOOKUP(AS$2,'TIS Site Config'!$A$3:$AQ$51,12,FALSE)
                                                    -SUM(AS4:AS7)
                                                    -SUM(AS8:AS9)
                                                    -SUM(AS11:AS12),
          0),0),0)</f>
        <v>0</v>
      </c>
      <c r="AT10" s="126">
        <f>IF(VLOOKUP(AT$2,'TIS Site Config'!$A$4:$AQ$51,3,FALSE)&lt;&gt;"Soft",
          IF(VLOOKUP(AT$2,'TIS Site Config'!$A$3:$AQ$51,12,FALSE)&lt;&gt;"ERROR",
                    IF(VLOOKUP(AT$2,'TIS Site Config'!$A$3:$AQ$51,12,FALSE)
                                         -SUM(AT4:AT7)
                                         -SUM(AT8:AT9)
                                         -SUM(AT11:AT12)&gt;0,
                                               VLOOKUP(AT$2,'TIS Site Config'!$A$3:$AQ$51,12,FALSE)
                                                    -SUM(AT4:AT7)
                                                    -SUM(AT8:AT9)
                                                    -SUM(AT11:AT12),
          0),0),0)</f>
        <v>0</v>
      </c>
      <c r="AU10" s="150">
        <f>IF(VLOOKUP(AU$2,'TIS Site Config'!$A$4:$AQ$51,3,FALSE)&lt;&gt;"Soft",
          IF(VLOOKUP(AU$2,'TIS Site Config'!$A$3:$AQ$51,12,FALSE)&lt;&gt;"ERROR",
                    IF(VLOOKUP(AU$2,'TIS Site Config'!$A$3:$AQ$51,12,FALSE)
                                         -SUM(AU4:AU7)
                                         -SUM(AU8:AU9)
                                         -SUM(AU11:AU12)&gt;0,
                                               VLOOKUP(AU$2,'TIS Site Config'!$A$3:$AQ$51,12,FALSE)
                                                    -SUM(AU4:AU7)
                                                    -SUM(AU8:AU9)
                                                    -SUM(AU11:AU12),
          0),0),0)</f>
        <v>0</v>
      </c>
      <c r="AV10" s="126">
        <f>IF(VLOOKUP(AV$2,'TIS Site Config'!$A$4:$AQ$51,3,FALSE)&lt;&gt;"Soft",
          IF(VLOOKUP(AV$2,'TIS Site Config'!$A$3:$AQ$51,12,FALSE)&lt;&gt;"ERROR",
                    IF(VLOOKUP(AV$2,'TIS Site Config'!$A$3:$AQ$51,12,FALSE)
                                         -SUM(AV4:AV7)
                                         -SUM(AV8:AV9)
                                         -SUM(AV11:AV12)&gt;0,
                                               VLOOKUP(AV$2,'TIS Site Config'!$A$3:$AQ$51,12,FALSE)
                                                    -SUM(AV4:AV7)
                                                    -SUM(AV8:AV9)
                                                    -SUM(AV11:AV12),
          0),0),0)</f>
        <v>0</v>
      </c>
      <c r="AW10" s="131">
        <f>IF(VLOOKUP(AW$2,'TIS Site Config'!$A$4:$AQ$51,3,FALSE)&lt;&gt;"Soft",
          IF(VLOOKUP(AW$2,'TIS Site Config'!$A$3:$AQ$51,12,FALSE)&lt;&gt;"ERROR",
                    IF(VLOOKUP(AW$2,'TIS Site Config'!$A$3:$AQ$51,12,FALSE)
                                         -SUM(AW4:AW7)
                                         -SUM(AW8:AW9)
                                         -SUM(AW11:AW12)&gt;0,
                                               VLOOKUP(AW$2,'TIS Site Config'!$A$3:$AQ$51,12,FALSE)
                                                    -SUM(AW4:AW7)
                                                    -SUM(AW8:AW9)
                                                    -SUM(AW11:AW12),
          0),0),0)</f>
        <v>4</v>
      </c>
      <c r="AX10" s="162">
        <f>IF(VLOOKUP(AX$2,'TIS Site Config'!$A$4:$AQ$51,3,FALSE)&lt;&gt;"Soft",
          IF(VLOOKUP(AX$2,'TIS Site Config'!$A$3:$AQ$51,12,FALSE)&lt;&gt;"ERROR",
                    IF(VLOOKUP(AX$2,'TIS Site Config'!$A$3:$AQ$51,12,FALSE)
                                         -SUM(AX4:AX7)
                                         -SUM(AX8:AX9)
                                         -SUM(AX11:AX12)&gt;0,
                                               VLOOKUP(AX$2,'TIS Site Config'!$A$3:$AQ$51,12,FALSE)
                                                    -SUM(AX4:AX7)
                                                    -SUM(AX8:AX9)
                                                    -SUM(AX11:AX12),
          0),0),0)</f>
        <v>2</v>
      </c>
      <c r="AY10" s="126">
        <f>IF(VLOOKUP(AY$2,'TIS Site Config'!$A$4:$AQ$51,3,FALSE)&lt;&gt;"Soft",
          IF(VLOOKUP(AY$2,'TIS Site Config'!$A$3:$AQ$51,12,FALSE)&lt;&gt;"ERROR",
                    IF(VLOOKUP(AY$2,'TIS Site Config'!$A$3:$AQ$51,12,FALSE)
                                         -SUM(AY4:AY7)
                                         -SUM(AY8:AY9)
                                         -SUM(AY11:AY12)&gt;0,
                                               VLOOKUP(AY$2,'TIS Site Config'!$A$3:$AQ$51,12,FALSE)
                                                    -SUM(AY4:AY7)
                                                    -SUM(AY8:AY9)
                                                    -SUM(AY11:AY12),
          0),0),0)</f>
        <v>7</v>
      </c>
      <c r="AZ10" s="150">
        <f>IF(VLOOKUP(AZ$2,'TIS Site Config'!$A$4:$AQ$51,3,FALSE)&lt;&gt;"Soft",
          IF(VLOOKUP(AZ$2,'TIS Site Config'!$A$3:$AQ$51,12,FALSE)&lt;&gt;"ERROR",
                    IF(VLOOKUP(AZ$2,'TIS Site Config'!$A$3:$AQ$51,12,FALSE)
                                         -SUM(AZ4:AZ7)
                                         -SUM(AZ8:AZ9)
                                         -SUM(AZ11:AZ12)&gt;0,
                                               VLOOKUP(AZ$2,'TIS Site Config'!$A$3:$AQ$51,12,FALSE)
                                                    -SUM(AZ4:AZ7)
                                                    -SUM(AZ8:AZ9)
                                                    -SUM(AZ11:AZ12),
          0),0),0)</f>
        <v>10</v>
      </c>
      <c r="BA10" s="161">
        <f>IF(VLOOKUP(BA$2,'TIS Site Config'!$A$4:$AQ$51,3,FALSE)&lt;&gt;"Soft",
          IF(VLOOKUP(BA$2,'TIS Site Config'!$A$3:$AQ$51,12,FALSE)&lt;&gt;"ERROR",
                    IF(VLOOKUP(BA$2,'TIS Site Config'!$A$3:$AQ$51,12,FALSE)
                                         -SUM(BA4:BA7)
                                         -SUM(BA8:BA9)
                                         -SUM(BA11:BA12)&gt;0,
                                               VLOOKUP(BA$2,'TIS Site Config'!$A$3:$AQ$51,12,FALSE)
                                                    -SUM(BA4:BA7)
                                                    -SUM(BA8:BA9)
                                                    -SUM(BA11:BA12),
          0),0),0)</f>
        <v>11</v>
      </c>
      <c r="BB10" s="126">
        <f>IF(VLOOKUP(BB$2,'TIS Site Config'!$A$4:$AQ$51,3,FALSE)&lt;&gt;"Soft",
          IF(VLOOKUP(BB$2,'TIS Site Config'!$A$3:$AQ$51,12,FALSE)&lt;&gt;"ERROR",
                    IF(VLOOKUP(BB$2,'TIS Site Config'!$A$3:$AQ$51,12,FALSE)
                                         -SUM(BB4:BB7)
                                         -SUM(BB8:BB9)
                                         -SUM(BB11:BB12)&gt;0,
                                               VLOOKUP(BB$2,'TIS Site Config'!$A$3:$AQ$51,12,FALSE)
                                                    -SUM(BB4:BB7)
                                                    -SUM(BB8:BB9)
                                                    -SUM(BB11:BB12),
          0),0),0)</f>
        <v>0</v>
      </c>
      <c r="BC10" s="160">
        <f>IF(VLOOKUP(BC$2,'TIS Site Config'!$A$4:$AQ$51,3,FALSE)&lt;&gt;"Soft",
          IF(VLOOKUP(BC$2,'TIS Site Config'!$A$3:$AQ$51,12,FALSE)&lt;&gt;"ERROR",
                    IF(VLOOKUP(BC$2,'TIS Site Config'!$A$3:$AQ$51,12,FALSE)
                                         -SUM(BC4:BC7)
                                         -SUM(BC8:BC9)
                                         -SUM(BC11:BC12)&gt;0,
                                               VLOOKUP(BC$2,'TIS Site Config'!$A$3:$AQ$51,12,FALSE)
                                                    -SUM(BC4:BC7)
                                                    -SUM(BC8:BC9)
                                                    -SUM(BC11:BC12),
          0),0),0)</f>
        <v>0</v>
      </c>
      <c r="BD10" s="126">
        <f>IF(VLOOKUP(BD$2,'TIS Site Config'!$A$4:$AQ$51,3,FALSE)&lt;&gt;"Soft",
          IF(VLOOKUP(BD$2,'TIS Site Config'!$A$3:$AQ$51,12,FALSE)&lt;&gt;"ERROR",
                    IF(VLOOKUP(BD$2,'TIS Site Config'!$A$3:$AQ$51,12,FALSE)
                                         -SUM(BD4:BD7)
                                         -SUM(BD8:BD9)
                                         -SUM(BD11:BD12)&gt;0,
                                               VLOOKUP(BD$2,'TIS Site Config'!$A$3:$AQ$51,12,FALSE)
                                                    -SUM(BD4:BD7)
                                                    -SUM(BD8:BD9)
                                                    -SUM(BD11:BD12),
          0),0),0)</f>
        <v>2</v>
      </c>
      <c r="BE10" s="150">
        <f>IF(VLOOKUP(BE$2,'TIS Site Config'!$A$4:$AQ$51,3,FALSE)&lt;&gt;"Soft",
          IF(VLOOKUP(BE$2,'TIS Site Config'!$A$3:$AQ$51,12,FALSE)&lt;&gt;"ERROR",
                    IF(VLOOKUP(BE$2,'TIS Site Config'!$A$3:$AQ$51,12,FALSE)
                                         -SUM(BE4:BE7)
                                         -SUM(BE8:BE9)
                                         -SUM(BE11:BE12)&gt;0,
                                               VLOOKUP(BE$2,'TIS Site Config'!$A$3:$AQ$51,12,FALSE)
                                                    -SUM(BE4:BE7)
                                                    -SUM(BE8:BE9)
                                                    -SUM(BE11:BE12),
          0),0),0)</f>
        <v>3</v>
      </c>
      <c r="BF10" s="160">
        <f>IF(VLOOKUP(BF$2,'TIS Site Config'!$A$4:$AQ$51,3,FALSE)&lt;&gt;"Soft",
          IF(VLOOKUP(BF$2,'TIS Site Config'!$A$3:$AQ$51,12,FALSE)&lt;&gt;"ERROR",
                    IF(VLOOKUP(BF$2,'TIS Site Config'!$A$3:$AQ$51,12,FALSE)
                                         -SUM(BF4:BF7)
                                         -SUM(BF8:BF9)
                                         -SUM(BF11:BF12)&gt;0,
                                               VLOOKUP(BF$2,'TIS Site Config'!$A$3:$AQ$51,12,FALSE)
                                                    -SUM(BF4:BF7)
                                                    -SUM(BF8:BF9)
                                                    -SUM(BF11:BF12),
          0),0),0)</f>
        <v>0</v>
      </c>
      <c r="BG10" s="198">
        <f>IF(VLOOKUP(BG$2,'TIS Site Config'!$A$4:$AQ$51,3,FALSE)&lt;&gt;"Soft",
          IF(VLOOKUP(BG$2,'TIS Site Config'!$A$3:$AQ$51,12,FALSE)&lt;&gt;"ERROR",
                    IF(VLOOKUP(BG$2,'TIS Site Config'!$A$3:$AQ$51,12,FALSE)
                                         -SUM(BG4:BG7)
                                         -SUM(BG8:BG9)
                                         -SUM(BG11:BG12)&gt;0,
                                               VLOOKUP(BG$2,'TIS Site Config'!$A$3:$AQ$51,12,FALSE)
                                                    -SUM(BG4:BG7)
                                                    -SUM(BG8:BG9)
                                                    -SUM(BG11:BG12),
          0),0),0)</f>
        <v>5</v>
      </c>
      <c r="BH10" s="1074">
        <f>IF(VLOOKUP(BH$2,'TIS Site Config'!$A$4:$AQ$51,3,FALSE)&lt;&gt;"Soft",
          IF(VLOOKUP(BH$2,'TIS Site Config'!$A$3:$AQ$51,12,FALSE)&lt;&gt;"ERROR",
                    IF(VLOOKUP(BH$2,'TIS Site Config'!$A$3:$AQ$51,12,FALSE)
                                         -SUM(BH4:BH7)
                                         -SUM(BH8:BH9)
                                         -SUM(BH11:BH12)&gt;0,
                                               VLOOKUP(BH$2,'TIS Site Config'!$A$3:$AQ$51,12,FALSE)
                                                    -SUM(BH4:BH7)
                                                    -SUM(BH8:BH9)
                                                    -SUM(BH11:BH12),
          0),0),0)</f>
        <v>0</v>
      </c>
      <c r="BK10" s="3">
        <v>171</v>
      </c>
      <c r="BL10" s="950" t="b">
        <f t="shared" si="0"/>
        <v>0</v>
      </c>
      <c r="BO10" s="950"/>
    </row>
    <row r="11" spans="1:67" ht="15.75" thickTop="1" x14ac:dyDescent="0.25">
      <c r="A11" s="1366"/>
      <c r="B11" s="1338" t="s">
        <v>178</v>
      </c>
      <c r="C11" s="59" t="s">
        <v>185</v>
      </c>
      <c r="D11" s="60">
        <v>1</v>
      </c>
      <c r="E11" s="84" t="s">
        <v>290</v>
      </c>
      <c r="F11" s="60">
        <f t="shared" si="1"/>
        <v>11</v>
      </c>
      <c r="G11" s="459"/>
      <c r="H11" s="460"/>
      <c r="I11" s="460"/>
      <c r="J11" s="460"/>
      <c r="K11" s="461"/>
      <c r="L11" s="494"/>
      <c r="M11" s="128">
        <f>IF(
                    VLOOKUP(M$2,'TIS Site Config'!$A$3:$AQ$51,6,FALSE)="Non-heated",
                              1,0)</f>
        <v>0</v>
      </c>
      <c r="N11" s="154">
        <f>IF(
                    VLOOKUP(N$2,'TIS Site Config'!$A$3:$AQ$51,6,FALSE)="Non-heated",
                              1,0)</f>
        <v>0</v>
      </c>
      <c r="O11" s="158">
        <f>IF(
                    VLOOKUP(O$2,'TIS Site Config'!$A$3:$AQ$51,6,FALSE)="Non-heated",
                              1,0)</f>
        <v>0</v>
      </c>
      <c r="P11" s="153">
        <f>IF(
                    VLOOKUP(P$2,'TIS Site Config'!$A$3:$AQ$51,6,FALSE)="Non-heated",
                              1,0)</f>
        <v>0</v>
      </c>
      <c r="Q11" s="154">
        <f>IF(
                    VLOOKUP(Q$2,'TIS Site Config'!$A$3:$AQ$51,6,FALSE)="Non-heated",
                              1,0)</f>
        <v>0</v>
      </c>
      <c r="R11" s="125">
        <f>IF(
                    VLOOKUP(R$2,'TIS Site Config'!$A$3:$AQ$51,6,FALSE)="Non-heated",
                              1,0)</f>
        <v>1</v>
      </c>
      <c r="S11" s="153">
        <f>IF(
                    VLOOKUP(S$2,'TIS Site Config'!$A$3:$AQ$51,6,FALSE)="Non-heated",
                              1,0)</f>
        <v>1</v>
      </c>
      <c r="T11" s="154">
        <f>IF(
                    VLOOKUP(T$2,'TIS Site Config'!$A$3:$AQ$51,6,FALSE)="Non-heated",
                              1,0)</f>
        <v>1</v>
      </c>
      <c r="U11" s="125">
        <f>IF(
                    VLOOKUP(U$2,'TIS Site Config'!$A$3:$AQ$51,6,FALSE)="Non-heated",
                              1,0)</f>
        <v>1</v>
      </c>
      <c r="V11" s="154">
        <f>IF(
                    VLOOKUP(V$2,'TIS Site Config'!$A$3:$AQ$51,6,FALSE)="Non-heated",
                              1,0)</f>
        <v>1</v>
      </c>
      <c r="W11" s="156">
        <f>IF(
                    VLOOKUP(W$2,'TIS Site Config'!$A$3:$AQ$51,6,FALSE)="Non-heated",
                              1,0)</f>
        <v>0</v>
      </c>
      <c r="X11" s="159">
        <f>IF(
                    VLOOKUP(X$2,'TIS Site Config'!$A$3:$AQ$51,6,FALSE)="Non-heated",
                              1,0)</f>
        <v>0</v>
      </c>
      <c r="Y11" s="157">
        <f>IF(
                    VLOOKUP(Y$2,'TIS Site Config'!$A$3:$AQ$51,6,FALSE)="Non-heated",
                              1,0)</f>
        <v>0</v>
      </c>
      <c r="Z11" s="125">
        <f>IF(
                    VLOOKUP(Z$2,'TIS Site Config'!$A$3:$AQ$51,6,FALSE)="Non-heated",
                              1,0)</f>
        <v>0</v>
      </c>
      <c r="AA11" s="153">
        <f>IF(
                    VLOOKUP(AA$2,'TIS Site Config'!$A$3:$AQ$51,6,FALSE)="Non-heated",
                              1,0)</f>
        <v>0</v>
      </c>
      <c r="AB11" s="154">
        <f>IF(
                    VLOOKUP(AB$2,'TIS Site Config'!$A$3:$AQ$51,6,FALSE)="Non-heated",
                              1,0)</f>
        <v>0</v>
      </c>
      <c r="AC11" s="153">
        <f>IF(
                    VLOOKUP(AC$2,'TIS Site Config'!$A$3:$AQ$51,6,FALSE)="Non-heated",
                              1,0)</f>
        <v>0</v>
      </c>
      <c r="AD11" s="155">
        <f>IF(
                    VLOOKUP(AD$2,'TIS Site Config'!$A$3:$AQ$51,6,FALSE)="Non-heated",
                              1,0)</f>
        <v>0</v>
      </c>
      <c r="AE11" s="155">
        <f>IF(
                    VLOOKUP(AE$2,'TIS Site Config'!$A$3:$AQ$51,6,FALSE)="Non-heated",
                              1,0)</f>
        <v>0</v>
      </c>
      <c r="AF11" s="995">
        <f>IF(
                    VLOOKUP(AF$2,'TIS Site Config'!$A$3:$AQ$51,6,FALSE)="Non-heated",
                              1,0)</f>
        <v>1</v>
      </c>
      <c r="AG11" s="153">
        <f>IF(
                    VLOOKUP(AG$2,'TIS Site Config'!$A$3:$AQ$51,6,FALSE)="Non-heated",
                              1,0)</f>
        <v>1</v>
      </c>
      <c r="AH11" s="154">
        <f>IF(
                    VLOOKUP(AH$2,'TIS Site Config'!$A$3:$AQ$51,6,FALSE)="Non-heated",
                              1,0)</f>
        <v>1</v>
      </c>
      <c r="AI11" s="125">
        <f>IF(
                    VLOOKUP(AI$2,'TIS Site Config'!$A$3:$AQ$51,6,FALSE)="Non-heated",
                              1,0)</f>
        <v>0</v>
      </c>
      <c r="AJ11" s="153">
        <f>IF(
                    VLOOKUP(AJ$2,'TIS Site Config'!$A$3:$AQ$51,6,FALSE)="Non-heated",
                              1,0)</f>
        <v>0</v>
      </c>
      <c r="AK11" s="154">
        <f>IF(
                    VLOOKUP(AK$2,'TIS Site Config'!$A$3:$AQ$51,6,FALSE)="Non-heated",
                              1,0)</f>
        <v>0</v>
      </c>
      <c r="AL11" s="125">
        <f>IF(
                    VLOOKUP(AL$2,'TIS Site Config'!$A$3:$AQ$51,6,FALSE)="Non-heated",
                              1,0)</f>
        <v>0</v>
      </c>
      <c r="AM11" s="153">
        <f>IF(
                    VLOOKUP(AM$2,'TIS Site Config'!$A$3:$AQ$51,6,FALSE)="Non-heated",
                              1,0)</f>
        <v>0</v>
      </c>
      <c r="AN11" s="154">
        <f>IF(
                    VLOOKUP(AN$2,'TIS Site Config'!$A$3:$AQ$51,6,FALSE)="Non-heated",
                              1,0)</f>
        <v>0</v>
      </c>
      <c r="AO11" s="125">
        <f>IF(
                    VLOOKUP(AO$2,'TIS Site Config'!$A$3:$AQ$51,6,FALSE)="Non-heated",
                              1,0)</f>
        <v>0</v>
      </c>
      <c r="AP11" s="153">
        <f>IF(
                    VLOOKUP(AP$2,'TIS Site Config'!$A$3:$AQ$51,6,FALSE)="Non-heated",
                              1,0)</f>
        <v>0</v>
      </c>
      <c r="AQ11" s="128">
        <f>IF(
                    VLOOKUP(AQ$2,'TIS Site Config'!$A$3:$AQ$51,6,FALSE)="Non-heated",
                              1,0)</f>
        <v>0</v>
      </c>
      <c r="AR11" s="125">
        <f>IF(
                    VLOOKUP(AR$2,'TIS Site Config'!$A$3:$AQ$51,6,FALSE)="Non-heated",
                              1,0)</f>
        <v>0</v>
      </c>
      <c r="AS11" s="153">
        <f>IF(
                    VLOOKUP(AS$2,'TIS Site Config'!$A$3:$AQ$51,6,FALSE)="Non-heated",
                              1,0)</f>
        <v>0</v>
      </c>
      <c r="AT11" s="125">
        <f>IF(
                    VLOOKUP(AT$2,'TIS Site Config'!$A$3:$AQ$51,6,FALSE)="Non-heated",
                              1,0)</f>
        <v>1</v>
      </c>
      <c r="AU11" s="153">
        <f>IF(
                    VLOOKUP(AU$2,'TIS Site Config'!$A$3:$AQ$51,6,FALSE)="Non-heated",
                              1,0)</f>
        <v>1</v>
      </c>
      <c r="AV11" s="125">
        <f>IF(
                    VLOOKUP(AV$2,'TIS Site Config'!$A$3:$AQ$51,6,FALSE)="Non-heated",
                              1,0)</f>
        <v>0</v>
      </c>
      <c r="AW11" s="128">
        <f>IF(
                    VLOOKUP(AW$2,'TIS Site Config'!$A$3:$AQ$51,6,FALSE)="Non-heated",
                              1,0)</f>
        <v>0</v>
      </c>
      <c r="AX11" s="154">
        <f>IF(
                    VLOOKUP(AX$2,'TIS Site Config'!$A$3:$AQ$51,6,FALSE)="Non-heated",
                              1,0)</f>
        <v>0</v>
      </c>
      <c r="AY11" s="125">
        <f>IF(
                    VLOOKUP(AY$2,'TIS Site Config'!$A$3:$AQ$51,6,FALSE)="Non-heated",
                              1,0)</f>
        <v>0</v>
      </c>
      <c r="AZ11" s="153">
        <f>IF(
                    VLOOKUP(AZ$2,'TIS Site Config'!$A$3:$AQ$51,6,FALSE)="Non-heated",
                              1,0)</f>
        <v>0</v>
      </c>
      <c r="BA11" s="155">
        <f>IF(
                    VLOOKUP(BA$2,'TIS Site Config'!$A$3:$AQ$51,6,FALSE)="Non-heated",
                              1,0)</f>
        <v>0</v>
      </c>
      <c r="BB11" s="125">
        <f>IF(
                    VLOOKUP(BB$2,'TIS Site Config'!$A$3:$AQ$51,6,FALSE)="Non-heated",
                              1,0)</f>
        <v>0</v>
      </c>
      <c r="BC11" s="154">
        <f>IF(
                    VLOOKUP(BC$2,'TIS Site Config'!$A$3:$AQ$51,6,FALSE)="Non-heated",
                              1,0)</f>
        <v>0</v>
      </c>
      <c r="BD11" s="125">
        <f>IF(
                    VLOOKUP(BD$2,'TIS Site Config'!$A$3:$AQ$51,6,FALSE)="Non-heated",
                              1,0)</f>
        <v>0</v>
      </c>
      <c r="BE11" s="153">
        <f>IF(
                    VLOOKUP(BE$2,'TIS Site Config'!$A$3:$AQ$51,6,FALSE)="Non-heated",
                              1,0)</f>
        <v>0</v>
      </c>
      <c r="BF11" s="154">
        <f>IF(
                    VLOOKUP(BF$2,'TIS Site Config'!$A$3:$AQ$51,6,FALSE)="Non-heated",
                              1,0)</f>
        <v>0</v>
      </c>
      <c r="BG11" s="175">
        <f>IF(
                    VLOOKUP(BG$2,'TIS Site Config'!$A$3:$AQ$51,6,FALSE)="Non-heated",
                              1,0)</f>
        <v>1</v>
      </c>
      <c r="BH11" s="1076">
        <f>IF(
                    VLOOKUP(BH$2,'TIS Site Config'!$A$3:$AQ$51,6,FALSE)="Non-heated",
                              1,0)</f>
        <v>0</v>
      </c>
      <c r="BK11" s="3">
        <v>15</v>
      </c>
      <c r="BL11" s="950" t="b">
        <f t="shared" si="0"/>
        <v>0</v>
      </c>
      <c r="BO11" s="950"/>
    </row>
    <row r="12" spans="1:67" ht="15.75" thickBot="1" x14ac:dyDescent="0.3">
      <c r="A12" s="1366"/>
      <c r="B12" s="1364"/>
      <c r="C12" s="61" t="s">
        <v>186</v>
      </c>
      <c r="D12" s="62">
        <v>1</v>
      </c>
      <c r="E12" s="85" t="s">
        <v>291</v>
      </c>
      <c r="F12" s="62">
        <f t="shared" si="1"/>
        <v>36</v>
      </c>
      <c r="G12" s="450">
        <v>1</v>
      </c>
      <c r="H12" s="451"/>
      <c r="I12" s="451"/>
      <c r="J12" s="451"/>
      <c r="K12" s="452"/>
      <c r="L12" s="491"/>
      <c r="M12" s="131">
        <f>IF(OR(VLOOKUP(M$2,'TIS Site Config'!$A$3:$AQ$51,6,FALSE)="Heated",
                            VLOOKUP(M$2,'TIS Site Config'!$A$3:$AQ$51,6,FALSE)="Extreme Heated"),
                              1,0)</f>
        <v>1</v>
      </c>
      <c r="N12" s="160">
        <f>IF(OR(VLOOKUP(N$2,'TIS Site Config'!$A$3:$AQ$51,6,FALSE)="Heated",
                            VLOOKUP(N$2,'TIS Site Config'!$A$3:$AQ$51,6,FALSE)="Extreme Heated"),
                              1,0)</f>
        <v>1</v>
      </c>
      <c r="O12" s="152">
        <f>IF(OR(VLOOKUP(O$2,'TIS Site Config'!$A$3:$AQ$51,6,FALSE)="Heated",
                            VLOOKUP(O$2,'TIS Site Config'!$A$3:$AQ$51,6,FALSE)="Extreme Heated"),
                              1,0)</f>
        <v>1</v>
      </c>
      <c r="P12" s="150">
        <f>IF(OR(VLOOKUP(P$2,'TIS Site Config'!$A$3:$AQ$51,6,FALSE)="Heated",
                            VLOOKUP(P$2,'TIS Site Config'!$A$3:$AQ$51,6,FALSE)="Extreme Heated"),
                              1,0)</f>
        <v>1</v>
      </c>
      <c r="Q12" s="160">
        <f>IF(OR(VLOOKUP(Q$2,'TIS Site Config'!$A$3:$AQ$51,6,FALSE)="Heated",
                            VLOOKUP(Q$2,'TIS Site Config'!$A$3:$AQ$51,6,FALSE)="Extreme Heated"),
                              1,0)</f>
        <v>1</v>
      </c>
      <c r="R12" s="126">
        <f>IF(OR(VLOOKUP(R$2,'TIS Site Config'!$A$3:$AQ$51,6,FALSE)="Heated",
                            VLOOKUP(R$2,'TIS Site Config'!$A$3:$AQ$51,6,FALSE)="Extreme Heated"),
                              1,0)</f>
        <v>0</v>
      </c>
      <c r="S12" s="150">
        <f>IF(OR(VLOOKUP(S$2,'TIS Site Config'!$A$3:$AQ$51,6,FALSE)="Heated",
                            VLOOKUP(S$2,'TIS Site Config'!$A$3:$AQ$51,6,FALSE)="Extreme Heated"),
                              1,0)</f>
        <v>0</v>
      </c>
      <c r="T12" s="160">
        <f>IF(OR(VLOOKUP(T$2,'TIS Site Config'!$A$3:$AQ$51,6,FALSE)="Heated",
                            VLOOKUP(T$2,'TIS Site Config'!$A$3:$AQ$51,6,FALSE)="Extreme Heated"),
                              1,0)</f>
        <v>0</v>
      </c>
      <c r="U12" s="126">
        <f>IF(OR(VLOOKUP(U$2,'TIS Site Config'!$A$3:$AQ$51,6,FALSE)="Heated",
                            VLOOKUP(U$2,'TIS Site Config'!$A$3:$AQ$51,6,FALSE)="Extreme Heated"),
                              1,0)</f>
        <v>0</v>
      </c>
      <c r="V12" s="160">
        <f>IF(OR(VLOOKUP(V$2,'TIS Site Config'!$A$3:$AQ$51,6,FALSE)="Heated",
                            VLOOKUP(V$2,'TIS Site Config'!$A$3:$AQ$51,6,FALSE)="Extreme Heated"),
                              1,0)</f>
        <v>0</v>
      </c>
      <c r="W12" s="163">
        <f>IF(OR(VLOOKUP(W$2,'TIS Site Config'!$A$3:$AQ$51,6,FALSE)="Heated",
                            VLOOKUP(W$2,'TIS Site Config'!$A$3:$AQ$51,6,FALSE)="Extreme Heated"),
                              1,0)</f>
        <v>1</v>
      </c>
      <c r="X12" s="165">
        <f>IF(OR(VLOOKUP(X$2,'TIS Site Config'!$A$3:$AQ$51,6,FALSE)="Heated",
                            VLOOKUP(X$2,'TIS Site Config'!$A$3:$AQ$51,6,FALSE)="Extreme Heated"),
                              1,0)</f>
        <v>1</v>
      </c>
      <c r="Y12" s="162">
        <f>IF(OR(VLOOKUP(Y$2,'TIS Site Config'!$A$3:$AQ$51,6,FALSE)="Heated",
                            VLOOKUP(Y$2,'TIS Site Config'!$A$3:$AQ$51,6,FALSE)="Extreme Heated"),
                              1,0)</f>
        <v>1</v>
      </c>
      <c r="Z12" s="126">
        <f>IF(OR(VLOOKUP(Z$2,'TIS Site Config'!$A$3:$AQ$51,6,FALSE)="Heated",
                            VLOOKUP(Z$2,'TIS Site Config'!$A$3:$AQ$51,6,FALSE)="Extreme Heated"),
                              1,0)</f>
        <v>1</v>
      </c>
      <c r="AA12" s="150">
        <f>IF(OR(VLOOKUP(AA$2,'TIS Site Config'!$A$3:$AQ$51,6,FALSE)="Heated",
                            VLOOKUP(AA$2,'TIS Site Config'!$A$3:$AQ$51,6,FALSE)="Extreme Heated"),
                              1,0)</f>
        <v>1</v>
      </c>
      <c r="AB12" s="160">
        <f>IF(OR(VLOOKUP(AB$2,'TIS Site Config'!$A$3:$AQ$51,6,FALSE)="Heated",
                            VLOOKUP(AB$2,'TIS Site Config'!$A$3:$AQ$51,6,FALSE)="Extreme Heated"),
                              1,0)</f>
        <v>1</v>
      </c>
      <c r="AC12" s="150">
        <f>IF(OR(VLOOKUP(AC$2,'TIS Site Config'!$A$3:$AQ$51,6,FALSE)="Heated",
                            VLOOKUP(AC$2,'TIS Site Config'!$A$3:$AQ$51,6,FALSE)="Extreme Heated"),
                              1,0)</f>
        <v>1</v>
      </c>
      <c r="AD12" s="161">
        <f>IF(OR(VLOOKUP(AD$2,'TIS Site Config'!$A$3:$AQ$51,6,FALSE)="Heated",
                            VLOOKUP(AD$2,'TIS Site Config'!$A$3:$AQ$51,6,FALSE)="Extreme Heated"),
                              1,0)</f>
        <v>1</v>
      </c>
      <c r="AE12" s="161">
        <f>IF(OR(VLOOKUP(AE$2,'TIS Site Config'!$A$3:$AQ$51,6,FALSE)="Heated",
                            VLOOKUP(AE$2,'TIS Site Config'!$A$3:$AQ$51,6,FALSE)="Extreme Heated"),
                              1,0)</f>
        <v>1</v>
      </c>
      <c r="AF12" s="991">
        <f>IF(OR(VLOOKUP(AF$2,'TIS Site Config'!$A$3:$AQ$51,6,FALSE)="Heated",
                            VLOOKUP(AF$2,'TIS Site Config'!$A$3:$AQ$51,6,FALSE)="Extreme Heated"),
                              1,0)</f>
        <v>0</v>
      </c>
      <c r="AG12" s="150">
        <f>IF(OR(VLOOKUP(AG$2,'TIS Site Config'!$A$3:$AQ$51,6,FALSE)="Heated",
                            VLOOKUP(AG$2,'TIS Site Config'!$A$3:$AQ$51,6,FALSE)="Extreme Heated"),
                              1,0)</f>
        <v>0</v>
      </c>
      <c r="AH12" s="160">
        <f>IF(OR(VLOOKUP(AH$2,'TIS Site Config'!$A$3:$AQ$51,6,FALSE)="Heated",
                            VLOOKUP(AH$2,'TIS Site Config'!$A$3:$AQ$51,6,FALSE)="Extreme Heated"),
                              1,0)</f>
        <v>0</v>
      </c>
      <c r="AI12" s="126">
        <f>IF(OR(VLOOKUP(AI$2,'TIS Site Config'!$A$3:$AQ$51,6,FALSE)="Heated",
                            VLOOKUP(AI$2,'TIS Site Config'!$A$3:$AQ$51,6,FALSE)="Extreme Heated"),
                              1,0)</f>
        <v>1</v>
      </c>
      <c r="AJ12" s="150">
        <f>IF(OR(VLOOKUP(AJ$2,'TIS Site Config'!$A$3:$AQ$51,6,FALSE)="Heated",
                            VLOOKUP(AJ$2,'TIS Site Config'!$A$3:$AQ$51,6,FALSE)="Extreme Heated"),
                              1,0)</f>
        <v>1</v>
      </c>
      <c r="AK12" s="160">
        <f>IF(OR(VLOOKUP(AK$2,'TIS Site Config'!$A$3:$AQ$51,6,FALSE)="Heated",
                            VLOOKUP(AK$2,'TIS Site Config'!$A$3:$AQ$51,6,FALSE)="Extreme Heated"),
                              1,0)</f>
        <v>1</v>
      </c>
      <c r="AL12" s="126">
        <f>IF(OR(VLOOKUP(AL$2,'TIS Site Config'!$A$3:$AQ$51,6,FALSE)="Heated",
                            VLOOKUP(AL$2,'TIS Site Config'!$A$3:$AQ$51,6,FALSE)="Extreme Heated"),
                              1,0)</f>
        <v>1</v>
      </c>
      <c r="AM12" s="150">
        <f>IF(OR(VLOOKUP(AM$2,'TIS Site Config'!$A$3:$AQ$51,6,FALSE)="Heated",
                            VLOOKUP(AM$2,'TIS Site Config'!$A$3:$AQ$51,6,FALSE)="Extreme Heated"),
                              1,0)</f>
        <v>1</v>
      </c>
      <c r="AN12" s="160">
        <f>IF(OR(VLOOKUP(AN$2,'TIS Site Config'!$A$3:$AQ$51,6,FALSE)="Heated",
                            VLOOKUP(AN$2,'TIS Site Config'!$A$3:$AQ$51,6,FALSE)="Extreme Heated"),
                              1,0)</f>
        <v>1</v>
      </c>
      <c r="AO12" s="126">
        <f>IF(OR(VLOOKUP(AO$2,'TIS Site Config'!$A$3:$AQ$51,6,FALSE)="Heated",
                            VLOOKUP(AO$2,'TIS Site Config'!$A$3:$AQ$51,6,FALSE)="Extreme Heated"),
                              1,0)</f>
        <v>1</v>
      </c>
      <c r="AP12" s="150">
        <f>IF(OR(VLOOKUP(AP$2,'TIS Site Config'!$A$3:$AQ$51,6,FALSE)="Heated",
                            VLOOKUP(AP$2,'TIS Site Config'!$A$3:$AQ$51,6,FALSE)="Extreme Heated"),
                              1,0)</f>
        <v>1</v>
      </c>
      <c r="AQ12" s="131">
        <f>IF(OR(VLOOKUP(AQ$2,'TIS Site Config'!$A$3:$AQ$51,6,FALSE)="Heated",
                            VLOOKUP(AQ$2,'TIS Site Config'!$A$3:$AQ$51,6,FALSE)="Extreme Heated"),
                              1,0)</f>
        <v>1</v>
      </c>
      <c r="AR12" s="126">
        <f>IF(OR(VLOOKUP(AR$2,'TIS Site Config'!$A$3:$AQ$51,6,FALSE)="Heated",
                            VLOOKUP(AR$2,'TIS Site Config'!$A$3:$AQ$51,6,FALSE)="Extreme Heated"),
                              1,0)</f>
        <v>1</v>
      </c>
      <c r="AS12" s="150">
        <f>IF(OR(VLOOKUP(AS$2,'TIS Site Config'!$A$3:$AQ$51,6,FALSE)="Heated",
                            VLOOKUP(AS$2,'TIS Site Config'!$A$3:$AQ$51,6,FALSE)="Extreme Heated"),
                              1,0)</f>
        <v>1</v>
      </c>
      <c r="AT12" s="126">
        <f>IF(OR(VLOOKUP(AT$2,'TIS Site Config'!$A$3:$AQ$51,6,FALSE)="Heated",
                            VLOOKUP(AT$2,'TIS Site Config'!$A$3:$AQ$51,6,FALSE)="Extreme Heated"),
                              1,0)</f>
        <v>0</v>
      </c>
      <c r="AU12" s="150">
        <f>IF(OR(VLOOKUP(AU$2,'TIS Site Config'!$A$3:$AQ$51,6,FALSE)="Heated",
                            VLOOKUP(AU$2,'TIS Site Config'!$A$3:$AQ$51,6,FALSE)="Extreme Heated"),
                              1,0)</f>
        <v>0</v>
      </c>
      <c r="AV12" s="126">
        <f>IF(OR(VLOOKUP(AV$2,'TIS Site Config'!$A$3:$AQ$51,6,FALSE)="Heated",
                            VLOOKUP(AV$2,'TIS Site Config'!$A$3:$AQ$51,6,FALSE)="Extreme Heated"),
                              1,0)</f>
        <v>1</v>
      </c>
      <c r="AW12" s="131">
        <f>IF(OR(VLOOKUP(AW$2,'TIS Site Config'!$A$3:$AQ$51,6,FALSE)="Heated",
                            VLOOKUP(AW$2,'TIS Site Config'!$A$3:$AQ$51,6,FALSE)="Extreme Heated"),
                              1,0)</f>
        <v>1</v>
      </c>
      <c r="AX12" s="160">
        <f>IF(OR(VLOOKUP(AX$2,'TIS Site Config'!$A$3:$AQ$51,6,FALSE)="Heated",
                            VLOOKUP(AX$2,'TIS Site Config'!$A$3:$AQ$51,6,FALSE)="Extreme Heated"),
                              1,0)</f>
        <v>1</v>
      </c>
      <c r="AY12" s="126">
        <f>IF(OR(VLOOKUP(AY$2,'TIS Site Config'!$A$3:$AQ$51,6,FALSE)="Heated",
                            VLOOKUP(AY$2,'TIS Site Config'!$A$3:$AQ$51,6,FALSE)="Extreme Heated"),
                              1,0)</f>
        <v>1</v>
      </c>
      <c r="AZ12" s="150">
        <f>IF(OR(VLOOKUP(AZ$2,'TIS Site Config'!$A$3:$AQ$51,6,FALSE)="Heated",
                            VLOOKUP(AZ$2,'TIS Site Config'!$A$3:$AQ$51,6,FALSE)="Extreme Heated"),
                              1,0)</f>
        <v>1</v>
      </c>
      <c r="BA12" s="161">
        <f>IF(OR(VLOOKUP(BA$2,'TIS Site Config'!$A$3:$AQ$51,6,FALSE)="Heated",
                            VLOOKUP(BA$2,'TIS Site Config'!$A$3:$AQ$51,6,FALSE)="Extreme Heated"),
                              1,0)</f>
        <v>1</v>
      </c>
      <c r="BB12" s="126">
        <f>IF(OR(VLOOKUP(BB$2,'TIS Site Config'!$A$3:$AQ$51,6,FALSE)="Heated",
                            VLOOKUP(BB$2,'TIS Site Config'!$A$3:$AQ$51,6,FALSE)="Extreme Heated"),
                              1,0)</f>
        <v>1</v>
      </c>
      <c r="BC12" s="160">
        <f>IF(OR(VLOOKUP(BC$2,'TIS Site Config'!$A$3:$AQ$51,6,FALSE)="Heated",
                            VLOOKUP(BC$2,'TIS Site Config'!$A$3:$AQ$51,6,FALSE)="Extreme Heated"),
                              1,0)</f>
        <v>1</v>
      </c>
      <c r="BD12" s="126">
        <f>IF(OR(VLOOKUP(BD$2,'TIS Site Config'!$A$3:$AQ$51,6,FALSE)="Heated",
                            VLOOKUP(BD$2,'TIS Site Config'!$A$3:$AQ$51,6,FALSE)="Extreme Heated"),
                              1,0)</f>
        <v>1</v>
      </c>
      <c r="BE12" s="150">
        <f>IF(OR(VLOOKUP(BE$2,'TIS Site Config'!$A$3:$AQ$51,6,FALSE)="Heated",
                            VLOOKUP(BE$2,'TIS Site Config'!$A$3:$AQ$51,6,FALSE)="Extreme Heated"),
                              1,0)</f>
        <v>1</v>
      </c>
      <c r="BF12" s="160">
        <f>IF(OR(VLOOKUP(BF$2,'TIS Site Config'!$A$3:$AQ$51,6,FALSE)="Heated",
                            VLOOKUP(BF$2,'TIS Site Config'!$A$3:$AQ$51,6,FALSE)="Extreme Heated"),
                              1,0)</f>
        <v>1</v>
      </c>
      <c r="BG12" s="198">
        <f>IF(OR(VLOOKUP(BG$2,'TIS Site Config'!$A$3:$AQ$51,6,FALSE)="Heated",
                            VLOOKUP(BG$2,'TIS Site Config'!$A$3:$AQ$51,6,FALSE)="Extreme Heated"),
                              1,0)</f>
        <v>0</v>
      </c>
      <c r="BH12" s="1074">
        <f>IF(OR(VLOOKUP(BH$2,'TIS Site Config'!$A$3:$AQ$51,6,FALSE)="Heated",
                            VLOOKUP(BH$2,'TIS Site Config'!$A$3:$AQ$51,6,FALSE)="Extreme Heated"),
                              1,0)</f>
        <v>1</v>
      </c>
      <c r="BK12" s="3">
        <v>44</v>
      </c>
      <c r="BL12" s="950" t="b">
        <f t="shared" si="0"/>
        <v>0</v>
      </c>
      <c r="BO12" s="950"/>
    </row>
    <row r="13" spans="1:67" ht="15.75" thickTop="1" x14ac:dyDescent="0.25">
      <c r="A13" s="1355" t="s">
        <v>50</v>
      </c>
      <c r="B13" s="739" t="s">
        <v>51</v>
      </c>
      <c r="C13" s="59" t="s">
        <v>341</v>
      </c>
      <c r="D13" s="60">
        <v>2</v>
      </c>
      <c r="E13" s="84" t="s">
        <v>9</v>
      </c>
      <c r="F13" s="60">
        <f t="shared" si="1"/>
        <v>235</v>
      </c>
      <c r="G13" s="459"/>
      <c r="H13" s="460"/>
      <c r="I13" s="460"/>
      <c r="J13" s="460"/>
      <c r="K13" s="461"/>
      <c r="L13" s="494"/>
      <c r="M13" s="128">
        <f>5</f>
        <v>5</v>
      </c>
      <c r="N13" s="173">
        <f>5</f>
        <v>5</v>
      </c>
      <c r="O13" s="177">
        <f>5</f>
        <v>5</v>
      </c>
      <c r="P13" s="159">
        <f>5</f>
        <v>5</v>
      </c>
      <c r="Q13" s="173">
        <f>5</f>
        <v>5</v>
      </c>
      <c r="R13" s="128">
        <f>5</f>
        <v>5</v>
      </c>
      <c r="S13" s="159">
        <f>5</f>
        <v>5</v>
      </c>
      <c r="T13" s="173">
        <f>5</f>
        <v>5</v>
      </c>
      <c r="U13" s="128">
        <f>5</f>
        <v>5</v>
      </c>
      <c r="V13" s="173">
        <f>5</f>
        <v>5</v>
      </c>
      <c r="W13" s="176">
        <f>5</f>
        <v>5</v>
      </c>
      <c r="X13" s="159">
        <f>5</f>
        <v>5</v>
      </c>
      <c r="Y13" s="173">
        <f>5</f>
        <v>5</v>
      </c>
      <c r="Z13" s="128">
        <f>5</f>
        <v>5</v>
      </c>
      <c r="AA13" s="159">
        <f>5</f>
        <v>5</v>
      </c>
      <c r="AB13" s="173">
        <f>5</f>
        <v>5</v>
      </c>
      <c r="AC13" s="159">
        <f>5</f>
        <v>5</v>
      </c>
      <c r="AD13" s="174">
        <f>5</f>
        <v>5</v>
      </c>
      <c r="AE13" s="174">
        <f>5</f>
        <v>5</v>
      </c>
      <c r="AF13" s="996">
        <f>5</f>
        <v>5</v>
      </c>
      <c r="AG13" s="159">
        <f>5</f>
        <v>5</v>
      </c>
      <c r="AH13" s="173">
        <f>5</f>
        <v>5</v>
      </c>
      <c r="AI13" s="128">
        <f>5</f>
        <v>5</v>
      </c>
      <c r="AJ13" s="159">
        <f>5</f>
        <v>5</v>
      </c>
      <c r="AK13" s="173">
        <f>5</f>
        <v>5</v>
      </c>
      <c r="AL13" s="128">
        <f>5</f>
        <v>5</v>
      </c>
      <c r="AM13" s="159">
        <f>5</f>
        <v>5</v>
      </c>
      <c r="AN13" s="173">
        <f>5</f>
        <v>5</v>
      </c>
      <c r="AO13" s="128">
        <f>5</f>
        <v>5</v>
      </c>
      <c r="AP13" s="159">
        <f>5</f>
        <v>5</v>
      </c>
      <c r="AQ13" s="128">
        <f>5</f>
        <v>5</v>
      </c>
      <c r="AR13" s="128">
        <f>5</f>
        <v>5</v>
      </c>
      <c r="AS13" s="159">
        <f>5</f>
        <v>5</v>
      </c>
      <c r="AT13" s="128">
        <f>5</f>
        <v>5</v>
      </c>
      <c r="AU13" s="159">
        <f>5</f>
        <v>5</v>
      </c>
      <c r="AV13" s="128">
        <f>5</f>
        <v>5</v>
      </c>
      <c r="AW13" s="128">
        <f>5</f>
        <v>5</v>
      </c>
      <c r="AX13" s="173">
        <f>5</f>
        <v>5</v>
      </c>
      <c r="AY13" s="128">
        <f>5</f>
        <v>5</v>
      </c>
      <c r="AZ13" s="159">
        <f>5</f>
        <v>5</v>
      </c>
      <c r="BA13" s="174">
        <f>5</f>
        <v>5</v>
      </c>
      <c r="BB13" s="128">
        <f>5</f>
        <v>5</v>
      </c>
      <c r="BC13" s="173">
        <f>5</f>
        <v>5</v>
      </c>
      <c r="BD13" s="128">
        <f>5</f>
        <v>5</v>
      </c>
      <c r="BE13" s="159">
        <f>5</f>
        <v>5</v>
      </c>
      <c r="BF13" s="173">
        <f>5</f>
        <v>5</v>
      </c>
      <c r="BG13" s="175">
        <f>5</f>
        <v>5</v>
      </c>
      <c r="BH13" s="175">
        <f>5</f>
        <v>5</v>
      </c>
      <c r="BK13" s="3">
        <v>300</v>
      </c>
      <c r="BL13" s="950" t="b">
        <f t="shared" si="0"/>
        <v>0</v>
      </c>
      <c r="BO13" s="950"/>
    </row>
    <row r="14" spans="1:67" s="44" customFormat="1" x14ac:dyDescent="0.25">
      <c r="A14" s="1356"/>
      <c r="B14" s="1336" t="s">
        <v>148</v>
      </c>
      <c r="C14" s="61" t="s">
        <v>187</v>
      </c>
      <c r="D14" s="62">
        <v>2</v>
      </c>
      <c r="E14" s="85" t="s">
        <v>11</v>
      </c>
      <c r="F14" s="62">
        <f t="shared" si="1"/>
        <v>235</v>
      </c>
      <c r="G14" s="450"/>
      <c r="H14" s="451"/>
      <c r="I14" s="451"/>
      <c r="J14" s="451"/>
      <c r="K14" s="452"/>
      <c r="L14" s="491"/>
      <c r="M14" s="131">
        <f>5</f>
        <v>5</v>
      </c>
      <c r="N14" s="196">
        <f>5</f>
        <v>5</v>
      </c>
      <c r="O14" s="200">
        <f>5</f>
        <v>5</v>
      </c>
      <c r="P14" s="165">
        <f>5</f>
        <v>5</v>
      </c>
      <c r="Q14" s="196">
        <f>5</f>
        <v>5</v>
      </c>
      <c r="R14" s="131">
        <f>5</f>
        <v>5</v>
      </c>
      <c r="S14" s="165">
        <f>5</f>
        <v>5</v>
      </c>
      <c r="T14" s="196">
        <f>5</f>
        <v>5</v>
      </c>
      <c r="U14" s="131">
        <f>5</f>
        <v>5</v>
      </c>
      <c r="V14" s="196">
        <f>5</f>
        <v>5</v>
      </c>
      <c r="W14" s="199">
        <f>5</f>
        <v>5</v>
      </c>
      <c r="X14" s="165">
        <f>5</f>
        <v>5</v>
      </c>
      <c r="Y14" s="196">
        <f>5</f>
        <v>5</v>
      </c>
      <c r="Z14" s="131">
        <f>5</f>
        <v>5</v>
      </c>
      <c r="AA14" s="165">
        <f>5</f>
        <v>5</v>
      </c>
      <c r="AB14" s="196">
        <f>5</f>
        <v>5</v>
      </c>
      <c r="AC14" s="165">
        <f>5</f>
        <v>5</v>
      </c>
      <c r="AD14" s="197">
        <f>5</f>
        <v>5</v>
      </c>
      <c r="AE14" s="197">
        <f>5</f>
        <v>5</v>
      </c>
      <c r="AF14" s="997">
        <f>5</f>
        <v>5</v>
      </c>
      <c r="AG14" s="165">
        <f>5</f>
        <v>5</v>
      </c>
      <c r="AH14" s="196">
        <f>5</f>
        <v>5</v>
      </c>
      <c r="AI14" s="131">
        <f>5</f>
        <v>5</v>
      </c>
      <c r="AJ14" s="165">
        <f>5</f>
        <v>5</v>
      </c>
      <c r="AK14" s="196">
        <f>5</f>
        <v>5</v>
      </c>
      <c r="AL14" s="131">
        <f>5</f>
        <v>5</v>
      </c>
      <c r="AM14" s="165">
        <f>5</f>
        <v>5</v>
      </c>
      <c r="AN14" s="196">
        <f>5</f>
        <v>5</v>
      </c>
      <c r="AO14" s="131">
        <f>5</f>
        <v>5</v>
      </c>
      <c r="AP14" s="165">
        <f>5</f>
        <v>5</v>
      </c>
      <c r="AQ14" s="131">
        <f>5</f>
        <v>5</v>
      </c>
      <c r="AR14" s="131">
        <f>5</f>
        <v>5</v>
      </c>
      <c r="AS14" s="165">
        <f>5</f>
        <v>5</v>
      </c>
      <c r="AT14" s="131">
        <f>5</f>
        <v>5</v>
      </c>
      <c r="AU14" s="165">
        <f>5</f>
        <v>5</v>
      </c>
      <c r="AV14" s="131">
        <f>5</f>
        <v>5</v>
      </c>
      <c r="AW14" s="131">
        <f>5</f>
        <v>5</v>
      </c>
      <c r="AX14" s="196">
        <f>5</f>
        <v>5</v>
      </c>
      <c r="AY14" s="131">
        <f>5</f>
        <v>5</v>
      </c>
      <c r="AZ14" s="165">
        <f>5</f>
        <v>5</v>
      </c>
      <c r="BA14" s="197">
        <f>5</f>
        <v>5</v>
      </c>
      <c r="BB14" s="131">
        <f>5</f>
        <v>5</v>
      </c>
      <c r="BC14" s="196">
        <f>5</f>
        <v>5</v>
      </c>
      <c r="BD14" s="131">
        <f>5</f>
        <v>5</v>
      </c>
      <c r="BE14" s="165">
        <f>5</f>
        <v>5</v>
      </c>
      <c r="BF14" s="196">
        <f>5</f>
        <v>5</v>
      </c>
      <c r="BG14" s="198">
        <f>5</f>
        <v>5</v>
      </c>
      <c r="BH14" s="198">
        <f>5</f>
        <v>5</v>
      </c>
      <c r="BK14" s="44">
        <v>300</v>
      </c>
      <c r="BL14" s="950" t="b">
        <f t="shared" si="0"/>
        <v>0</v>
      </c>
      <c r="BO14" s="950"/>
    </row>
    <row r="15" spans="1:67" s="950" customFormat="1" x14ac:dyDescent="0.25">
      <c r="A15" s="1356"/>
      <c r="B15" s="1336"/>
      <c r="C15" s="61" t="s">
        <v>947</v>
      </c>
      <c r="D15" s="231">
        <v>4</v>
      </c>
      <c r="E15" s="85" t="s">
        <v>946</v>
      </c>
      <c r="F15" s="62">
        <f t="shared" ref="F15" si="2">SUM(M15:BG15)</f>
        <v>20</v>
      </c>
      <c r="G15" s="1091"/>
      <c r="H15" s="1092"/>
      <c r="I15" s="1092"/>
      <c r="J15" s="1092"/>
      <c r="K15" s="1093"/>
      <c r="L15" s="1094"/>
      <c r="M15" s="131">
        <f>IF(VLOOKUP(M$2,'TIS Site Config'!$A$3:$AQ$51,41,FALSE)="Yes",10,0)</f>
        <v>0</v>
      </c>
      <c r="N15" s="196">
        <f>IF(VLOOKUP(N$2,'TIS Site Config'!$A$3:$AQ$51,41,FALSE)="Yes",10,0)</f>
        <v>0</v>
      </c>
      <c r="O15" s="200">
        <f>IF(VLOOKUP(O$2,'TIS Site Config'!$A$3:$AQ$51,41,FALSE)="Yes",10,0)</f>
        <v>0</v>
      </c>
      <c r="P15" s="165">
        <f>IF(VLOOKUP(P$2,'TIS Site Config'!$A$3:$AQ$51,41,FALSE)="Yes",10,0)</f>
        <v>0</v>
      </c>
      <c r="Q15" s="196">
        <f>IF(VLOOKUP(Q$2,'TIS Site Config'!$A$3:$AQ$51,41,FALSE)="Yes",10,0)</f>
        <v>0</v>
      </c>
      <c r="R15" s="131">
        <f>IF(VLOOKUP(R$2,'TIS Site Config'!$A$3:$AQ$51,41,FALSE)="Yes",10,0)</f>
        <v>0</v>
      </c>
      <c r="S15" s="165">
        <f>IF(VLOOKUP(S$2,'TIS Site Config'!$A$3:$AQ$51,41,FALSE)="Yes",10,0)</f>
        <v>0</v>
      </c>
      <c r="T15" s="196">
        <f>IF(VLOOKUP(T$2,'TIS Site Config'!$A$3:$AQ$51,41,FALSE)="Yes",10,0)</f>
        <v>0</v>
      </c>
      <c r="U15" s="131">
        <f>IF(VLOOKUP(U$2,'TIS Site Config'!$A$3:$AQ$51,41,FALSE)="Yes",10,0)</f>
        <v>0</v>
      </c>
      <c r="V15" s="196">
        <f>IF(VLOOKUP(V$2,'TIS Site Config'!$A$3:$AQ$51,41,FALSE)="Yes",10,0)</f>
        <v>0</v>
      </c>
      <c r="W15" s="199">
        <f>IF(VLOOKUP(W$2,'TIS Site Config'!$A$3:$AQ$51,41,FALSE)="Yes",10,0)</f>
        <v>0</v>
      </c>
      <c r="X15" s="165">
        <f>IF(VLOOKUP(X$2,'TIS Site Config'!$A$3:$AQ$51,41,FALSE)="Yes",10,0)</f>
        <v>0</v>
      </c>
      <c r="Y15" s="196">
        <f>IF(VLOOKUP(Y$2,'TIS Site Config'!$A$3:$AQ$51,41,FALSE)="Yes",10,0)</f>
        <v>0</v>
      </c>
      <c r="Z15" s="131">
        <f>IF(VLOOKUP(Z$2,'TIS Site Config'!$A$3:$AQ$51,41,FALSE)="Yes",10,0)</f>
        <v>0</v>
      </c>
      <c r="AA15" s="165">
        <f>IF(VLOOKUP(AA$2,'TIS Site Config'!$A$3:$AQ$51,41,FALSE)="Yes",10,0)</f>
        <v>0</v>
      </c>
      <c r="AB15" s="196">
        <f>IF(VLOOKUP(AB$2,'TIS Site Config'!$A$3:$AQ$51,41,FALSE)="Yes",10,0)</f>
        <v>0</v>
      </c>
      <c r="AC15" s="165">
        <f>IF(VLOOKUP(AC$2,'TIS Site Config'!$A$3:$AQ$51,41,FALSE)="Yes",10,0)</f>
        <v>0</v>
      </c>
      <c r="AD15" s="197">
        <f>IF(VLOOKUP(AD$2,'TIS Site Config'!$A$3:$AQ$51,41,FALSE)="Yes",10,0)</f>
        <v>0</v>
      </c>
      <c r="AE15" s="197">
        <f>IF(VLOOKUP(AE$2,'TIS Site Config'!$A$3:$AQ$51,41,FALSE)="Yes",10,0)</f>
        <v>0</v>
      </c>
      <c r="AF15" s="997">
        <f>IF(VLOOKUP(AF$2,'TIS Site Config'!$A$3:$AQ$51,41,FALSE)="Yes",10,0)</f>
        <v>0</v>
      </c>
      <c r="AG15" s="165">
        <f>IF(VLOOKUP(AG$2,'TIS Site Config'!$A$3:$AQ$51,41,FALSE)="Yes",10,0)</f>
        <v>10</v>
      </c>
      <c r="AH15" s="196">
        <f>IF(VLOOKUP(AH$2,'TIS Site Config'!$A$3:$AQ$51,41,FALSE)="Yes",10,0)</f>
        <v>10</v>
      </c>
      <c r="AI15" s="131">
        <f>IF(VLOOKUP(AI$2,'TIS Site Config'!$A$3:$AQ$51,41,FALSE)="Yes",10,0)</f>
        <v>0</v>
      </c>
      <c r="AJ15" s="165">
        <f>IF(VLOOKUP(AJ$2,'TIS Site Config'!$A$3:$AQ$51,41,FALSE)="Yes",10,0)</f>
        <v>0</v>
      </c>
      <c r="AK15" s="196">
        <f>IF(VLOOKUP(AK$2,'TIS Site Config'!$A$3:$AQ$51,41,FALSE)="Yes",10,0)</f>
        <v>0</v>
      </c>
      <c r="AL15" s="131">
        <f>IF(VLOOKUP(AL$2,'TIS Site Config'!$A$3:$AQ$51,41,FALSE)="Yes",10,0)</f>
        <v>0</v>
      </c>
      <c r="AM15" s="165">
        <f>IF(VLOOKUP(AM$2,'TIS Site Config'!$A$3:$AQ$51,41,FALSE)="Yes",10,0)</f>
        <v>0</v>
      </c>
      <c r="AN15" s="196">
        <f>IF(VLOOKUP(AN$2,'TIS Site Config'!$A$3:$AQ$51,41,FALSE)="Yes",10,0)</f>
        <v>0</v>
      </c>
      <c r="AO15" s="131">
        <f>IF(VLOOKUP(AO$2,'TIS Site Config'!$A$3:$AQ$51,41,FALSE)="Yes",10,0)</f>
        <v>0</v>
      </c>
      <c r="AP15" s="165">
        <f>IF(VLOOKUP(AP$2,'TIS Site Config'!$A$3:$AQ$51,41,FALSE)="Yes",10,0)</f>
        <v>0</v>
      </c>
      <c r="AQ15" s="131">
        <f>IF(VLOOKUP(AQ$2,'TIS Site Config'!$A$3:$AQ$51,41,FALSE)="Yes",10,0)</f>
        <v>0</v>
      </c>
      <c r="AR15" s="131">
        <f>IF(VLOOKUP(AR$2,'TIS Site Config'!$A$3:$AQ$51,41,FALSE)="Yes",10,0)</f>
        <v>0</v>
      </c>
      <c r="AS15" s="165">
        <f>IF(VLOOKUP(AS$2,'TIS Site Config'!$A$3:$AQ$51,41,FALSE)="Yes",10,0)</f>
        <v>0</v>
      </c>
      <c r="AT15" s="131">
        <f>IF(VLOOKUP(AT$2,'TIS Site Config'!$A$3:$AQ$51,41,FALSE)="Yes",10,0)</f>
        <v>0</v>
      </c>
      <c r="AU15" s="165">
        <f>IF(VLOOKUP(AU$2,'TIS Site Config'!$A$3:$AQ$51,41,FALSE)="Yes",10,0)</f>
        <v>0</v>
      </c>
      <c r="AV15" s="131">
        <f>IF(VLOOKUP(AV$2,'TIS Site Config'!$A$3:$AQ$51,41,FALSE)="Yes",10,0)</f>
        <v>0</v>
      </c>
      <c r="AW15" s="131">
        <f>IF(VLOOKUP(AW$2,'TIS Site Config'!$A$3:$AQ$51,41,FALSE)="Yes",10,0)</f>
        <v>0</v>
      </c>
      <c r="AX15" s="196">
        <f>IF(VLOOKUP(AX$2,'TIS Site Config'!$A$3:$AQ$51,41,FALSE)="Yes",10,0)</f>
        <v>0</v>
      </c>
      <c r="AY15" s="131">
        <f>IF(VLOOKUP(AY$2,'TIS Site Config'!$A$3:$AQ$51,41,FALSE)="Yes",10,0)</f>
        <v>0</v>
      </c>
      <c r="AZ15" s="165">
        <f>IF(VLOOKUP(AZ$2,'TIS Site Config'!$A$3:$AQ$51,41,FALSE)="Yes",10,0)</f>
        <v>0</v>
      </c>
      <c r="BA15" s="197">
        <f>IF(VLOOKUP(BA$2,'TIS Site Config'!$A$3:$AQ$51,41,FALSE)="Yes",10,0)</f>
        <v>0</v>
      </c>
      <c r="BB15" s="131">
        <f>IF(VLOOKUP(BB$2,'TIS Site Config'!$A$3:$AQ$51,41,FALSE)="Yes",10,0)</f>
        <v>0</v>
      </c>
      <c r="BC15" s="196">
        <f>IF(VLOOKUP(BC$2,'TIS Site Config'!$A$3:$AQ$51,41,FALSE)="Yes",10,0)</f>
        <v>0</v>
      </c>
      <c r="BD15" s="131">
        <f>IF(VLOOKUP(BD$2,'TIS Site Config'!$A$3:$AQ$51,41,FALSE)="Yes",10,0)</f>
        <v>0</v>
      </c>
      <c r="BE15" s="165">
        <f>IF(VLOOKUP(BE$2,'TIS Site Config'!$A$3:$AQ$51,41,FALSE)="Yes",10,0)</f>
        <v>0</v>
      </c>
      <c r="BF15" s="196">
        <f>IF(VLOOKUP(BF$2,'TIS Site Config'!$A$3:$AQ$51,41,FALSE)="Yes",10,0)</f>
        <v>0</v>
      </c>
      <c r="BG15" s="198">
        <f>IF(VLOOKUP(BG$2,'TIS Site Config'!$A$3:$AQ$51,41,FALSE)="Yes",10,0)</f>
        <v>0</v>
      </c>
      <c r="BH15" s="198">
        <f>IF(VLOOKUP(BH$2,'TIS Site Config'!$A$3:$AQ$51,41,FALSE)="Yes",10,0)</f>
        <v>0</v>
      </c>
    </row>
    <row r="16" spans="1:67" ht="15.75" thickBot="1" x14ac:dyDescent="0.3">
      <c r="A16" s="1357"/>
      <c r="B16" s="1363"/>
      <c r="C16" s="325" t="s">
        <v>1128</v>
      </c>
      <c r="D16" s="219">
        <v>4</v>
      </c>
      <c r="E16" s="116" t="s">
        <v>1127</v>
      </c>
      <c r="F16" s="68">
        <f t="shared" si="1"/>
        <v>235</v>
      </c>
      <c r="G16" s="886"/>
      <c r="H16" s="887"/>
      <c r="I16" s="887"/>
      <c r="J16" s="887"/>
      <c r="K16" s="888"/>
      <c r="L16" s="889"/>
      <c r="M16" s="124">
        <v>5</v>
      </c>
      <c r="N16" s="191">
        <v>5</v>
      </c>
      <c r="O16" s="195">
        <v>5</v>
      </c>
      <c r="P16" s="190">
        <v>5</v>
      </c>
      <c r="Q16" s="191">
        <v>5</v>
      </c>
      <c r="R16" s="124">
        <v>5</v>
      </c>
      <c r="S16" s="190">
        <v>5</v>
      </c>
      <c r="T16" s="191">
        <v>5</v>
      </c>
      <c r="U16" s="124">
        <v>5</v>
      </c>
      <c r="V16" s="191">
        <v>5</v>
      </c>
      <c r="W16" s="194">
        <v>5</v>
      </c>
      <c r="X16" s="190">
        <v>5</v>
      </c>
      <c r="Y16" s="191">
        <v>5</v>
      </c>
      <c r="Z16" s="124">
        <v>5</v>
      </c>
      <c r="AA16" s="190">
        <v>5</v>
      </c>
      <c r="AB16" s="191">
        <v>5</v>
      </c>
      <c r="AC16" s="190">
        <v>5</v>
      </c>
      <c r="AD16" s="192">
        <v>5</v>
      </c>
      <c r="AE16" s="192">
        <v>5</v>
      </c>
      <c r="AF16" s="989">
        <v>5</v>
      </c>
      <c r="AG16" s="190">
        <v>5</v>
      </c>
      <c r="AH16" s="191">
        <v>5</v>
      </c>
      <c r="AI16" s="124">
        <v>5</v>
      </c>
      <c r="AJ16" s="190">
        <v>5</v>
      </c>
      <c r="AK16" s="191">
        <v>5</v>
      </c>
      <c r="AL16" s="124">
        <v>5</v>
      </c>
      <c r="AM16" s="190">
        <v>5</v>
      </c>
      <c r="AN16" s="191">
        <v>5</v>
      </c>
      <c r="AO16" s="124">
        <v>5</v>
      </c>
      <c r="AP16" s="190">
        <v>5</v>
      </c>
      <c r="AQ16" s="124">
        <v>5</v>
      </c>
      <c r="AR16" s="124">
        <v>5</v>
      </c>
      <c r="AS16" s="190">
        <v>5</v>
      </c>
      <c r="AT16" s="124">
        <v>5</v>
      </c>
      <c r="AU16" s="190">
        <v>5</v>
      </c>
      <c r="AV16" s="124">
        <v>5</v>
      </c>
      <c r="AW16" s="124">
        <v>5</v>
      </c>
      <c r="AX16" s="191">
        <v>5</v>
      </c>
      <c r="AY16" s="124">
        <v>5</v>
      </c>
      <c r="AZ16" s="190">
        <v>5</v>
      </c>
      <c r="BA16" s="192">
        <v>5</v>
      </c>
      <c r="BB16" s="124">
        <v>5</v>
      </c>
      <c r="BC16" s="191">
        <v>5</v>
      </c>
      <c r="BD16" s="124">
        <v>5</v>
      </c>
      <c r="BE16" s="190">
        <v>5</v>
      </c>
      <c r="BF16" s="191">
        <v>5</v>
      </c>
      <c r="BG16" s="193">
        <v>5</v>
      </c>
      <c r="BH16" s="193">
        <v>5</v>
      </c>
      <c r="BK16" s="3">
        <v>20</v>
      </c>
      <c r="BL16" s="950" t="b">
        <f t="shared" si="0"/>
        <v>0</v>
      </c>
      <c r="BO16" s="950"/>
    </row>
    <row r="17" spans="1:67" s="10" customFormat="1" ht="15.75" thickTop="1" x14ac:dyDescent="0.25">
      <c r="A17" s="1329" t="s">
        <v>52</v>
      </c>
      <c r="B17" s="1341" t="s">
        <v>588</v>
      </c>
      <c r="C17" s="64" t="s">
        <v>418</v>
      </c>
      <c r="D17" s="65">
        <v>3</v>
      </c>
      <c r="E17" s="111" t="s">
        <v>417</v>
      </c>
      <c r="F17" s="65">
        <f t="shared" si="1"/>
        <v>5</v>
      </c>
      <c r="G17" s="447"/>
      <c r="H17" s="448"/>
      <c r="I17" s="448"/>
      <c r="J17" s="448"/>
      <c r="K17" s="449"/>
      <c r="L17" s="490"/>
      <c r="M17" s="129">
        <f>IF(
             AND(VLOOKUP(M$2,'TIS Site Config'!$A$3:$AQ$51,5,FALSE)="Core",
                        VLOOKUP(M$2,'TIS Site Config'!$A$3:$AQ$51,6,FALSE)="Non-Heated"),
                              1,0)</f>
        <v>0</v>
      </c>
      <c r="N17" s="179">
        <f>IF(
             AND(VLOOKUP(N$2,'TIS Site Config'!$A$3:$AQ$51,5,FALSE)="Core",
                        VLOOKUP(N$2,'TIS Site Config'!$A$3:$AQ$51,6,FALSE)="Non-Heated"),
                              1,0)</f>
        <v>0</v>
      </c>
      <c r="O17" s="183">
        <f>IF(
             AND(VLOOKUP(O$2,'TIS Site Config'!$A$3:$AQ$51,5,FALSE)="Core",
                        VLOOKUP(O$2,'TIS Site Config'!$A$3:$AQ$51,6,FALSE)="Non-Heated"),
                              1,0)</f>
        <v>0</v>
      </c>
      <c r="P17" s="178">
        <f>IF(
             AND(VLOOKUP(P$2,'TIS Site Config'!$A$3:$AQ$51,5,FALSE)="Core",
                        VLOOKUP(P$2,'TIS Site Config'!$A$3:$AQ$51,6,FALSE)="Non-Heated"),
                              1,0)</f>
        <v>0</v>
      </c>
      <c r="Q17" s="179">
        <f>IF(
             AND(VLOOKUP(Q$2,'TIS Site Config'!$A$3:$AQ$51,5,FALSE)="Core",
                        VLOOKUP(Q$2,'TIS Site Config'!$A$3:$AQ$51,6,FALSE)="Non-Heated"),
                              1,0)</f>
        <v>0</v>
      </c>
      <c r="R17" s="129">
        <f>IF(
             AND(VLOOKUP(R$2,'TIS Site Config'!$A$3:$AQ$51,5,FALSE)="Core",
                        VLOOKUP(R$2,'TIS Site Config'!$A$3:$AQ$51,6,FALSE)="Non-Heated"),
                              1,0)</f>
        <v>1</v>
      </c>
      <c r="S17" s="178">
        <f>IF(
             AND(VLOOKUP(S$2,'TIS Site Config'!$A$3:$AQ$51,5,FALSE)="Core",
                        VLOOKUP(S$2,'TIS Site Config'!$A$3:$AQ$51,6,FALSE)="Non-Heated"),
                              1,0)</f>
        <v>0</v>
      </c>
      <c r="T17" s="179">
        <f>IF(
             AND(VLOOKUP(T$2,'TIS Site Config'!$A$3:$AQ$51,5,FALSE)="Core",
                        VLOOKUP(T$2,'TIS Site Config'!$A$3:$AQ$51,6,FALSE)="Non-Heated"),
                              1,0)</f>
        <v>0</v>
      </c>
      <c r="U17" s="129">
        <f>IF(
             AND(VLOOKUP(U$2,'TIS Site Config'!$A$3:$AQ$51,5,FALSE)="Core",
                        VLOOKUP(U$2,'TIS Site Config'!$A$3:$AQ$51,6,FALSE)="Non-Heated"),
                              1,0)</f>
        <v>1</v>
      </c>
      <c r="V17" s="179">
        <f>IF(
             AND(VLOOKUP(V$2,'TIS Site Config'!$A$3:$AQ$51,5,FALSE)="Core",
                        VLOOKUP(V$2,'TIS Site Config'!$A$3:$AQ$51,6,FALSE)="Non-Heated"),
                              1,0)</f>
        <v>0</v>
      </c>
      <c r="W17" s="182">
        <f>IF(
             AND(VLOOKUP(W$2,'TIS Site Config'!$A$3:$AQ$51,5,FALSE)="Core",
                        VLOOKUP(W$2,'TIS Site Config'!$A$3:$AQ$51,6,FALSE)="Non-Heated"),
                              1,0)</f>
        <v>0</v>
      </c>
      <c r="X17" s="178">
        <f>IF(
             AND(VLOOKUP(X$2,'TIS Site Config'!$A$3:$AQ$51,5,FALSE)="Core",
                        VLOOKUP(X$2,'TIS Site Config'!$A$3:$AQ$51,6,FALSE)="Non-Heated"),
                              1,0)</f>
        <v>0</v>
      </c>
      <c r="Y17" s="179">
        <f>IF(
             AND(VLOOKUP(Y$2,'TIS Site Config'!$A$3:$AQ$51,5,FALSE)="Core",
                        VLOOKUP(Y$2,'TIS Site Config'!$A$3:$AQ$51,6,FALSE)="Non-Heated"),
                              1,0)</f>
        <v>0</v>
      </c>
      <c r="Z17" s="129">
        <f>IF(
             AND(VLOOKUP(Z$2,'TIS Site Config'!$A$3:$AQ$51,5,FALSE)="Core",
                        VLOOKUP(Z$2,'TIS Site Config'!$A$3:$AQ$51,6,FALSE)="Non-Heated"),
                              1,0)</f>
        <v>0</v>
      </c>
      <c r="AA17" s="178">
        <f>IF(
             AND(VLOOKUP(AA$2,'TIS Site Config'!$A$3:$AQ$51,5,FALSE)="Core",
                        VLOOKUP(AA$2,'TIS Site Config'!$A$3:$AQ$51,6,FALSE)="Non-Heated"),
                              1,0)</f>
        <v>0</v>
      </c>
      <c r="AB17" s="179">
        <f>IF(
             AND(VLOOKUP(AB$2,'TIS Site Config'!$A$3:$AQ$51,5,FALSE)="Core",
                        VLOOKUP(AB$2,'TIS Site Config'!$A$3:$AQ$51,6,FALSE)="Non-Heated"),
                              1,0)</f>
        <v>0</v>
      </c>
      <c r="AC17" s="178">
        <f>IF(
             AND(VLOOKUP(AC$2,'TIS Site Config'!$A$3:$AQ$51,5,FALSE)="Core",
                        VLOOKUP(AC$2,'TIS Site Config'!$A$3:$AQ$51,6,FALSE)="Non-Heated"),
                              1,0)</f>
        <v>0</v>
      </c>
      <c r="AD17" s="180">
        <f>IF(
             AND(VLOOKUP(AD$2,'TIS Site Config'!$A$3:$AQ$51,5,FALSE)="Core",
                        VLOOKUP(AD$2,'TIS Site Config'!$A$3:$AQ$51,6,FALSE)="Non-Heated"),
                              1,0)</f>
        <v>0</v>
      </c>
      <c r="AE17" s="180">
        <f>IF(
             AND(VLOOKUP(AE$2,'TIS Site Config'!$A$3:$AQ$51,5,FALSE)="Core",
                        VLOOKUP(AE$2,'TIS Site Config'!$A$3:$AQ$51,6,FALSE)="Non-Heated"),
                              1,0)</f>
        <v>0</v>
      </c>
      <c r="AF17" s="998">
        <f>IF(
             AND(VLOOKUP(AF$2,'TIS Site Config'!$A$3:$AQ$51,5,FALSE)="Core",
                        VLOOKUP(AF$2,'TIS Site Config'!$A$3:$AQ$51,6,FALSE)="Non-Heated"),
                              1,0)</f>
        <v>1</v>
      </c>
      <c r="AG17" s="178">
        <f>IF(
             AND(VLOOKUP(AG$2,'TIS Site Config'!$A$3:$AQ$51,5,FALSE)="Core",
                        VLOOKUP(AG$2,'TIS Site Config'!$A$3:$AQ$51,6,FALSE)="Non-Heated"),
                              1,0)</f>
        <v>0</v>
      </c>
      <c r="AH17" s="179">
        <f>IF(
             AND(VLOOKUP(AH$2,'TIS Site Config'!$A$3:$AQ$51,5,FALSE)="Core",
                        VLOOKUP(AH$2,'TIS Site Config'!$A$3:$AQ$51,6,FALSE)="Non-Heated"),
                              1,0)</f>
        <v>0</v>
      </c>
      <c r="AI17" s="129">
        <f>IF(
             AND(VLOOKUP(AI$2,'TIS Site Config'!$A$3:$AQ$51,5,FALSE)="Core",
                        VLOOKUP(AI$2,'TIS Site Config'!$A$3:$AQ$51,6,FALSE)="Non-Heated"),
                              1,0)</f>
        <v>0</v>
      </c>
      <c r="AJ17" s="178">
        <f>IF(
             AND(VLOOKUP(AJ$2,'TIS Site Config'!$A$3:$AQ$51,5,FALSE)="Core",
                        VLOOKUP(AJ$2,'TIS Site Config'!$A$3:$AQ$51,6,FALSE)="Non-Heated"),
                              1,0)</f>
        <v>0</v>
      </c>
      <c r="AK17" s="179">
        <f>IF(
             AND(VLOOKUP(AK$2,'TIS Site Config'!$A$3:$AQ$51,5,FALSE)="Core",
                        VLOOKUP(AK$2,'TIS Site Config'!$A$3:$AQ$51,6,FALSE)="Non-Heated"),
                              1,0)</f>
        <v>0</v>
      </c>
      <c r="AL17" s="129">
        <f>IF(
             AND(VLOOKUP(AL$2,'TIS Site Config'!$A$3:$AQ$51,5,FALSE)="Core",
                        VLOOKUP(AL$2,'TIS Site Config'!$A$3:$AQ$51,6,FALSE)="Non-Heated"),
                              1,0)</f>
        <v>0</v>
      </c>
      <c r="AM17" s="178">
        <f>IF(
             AND(VLOOKUP(AM$2,'TIS Site Config'!$A$3:$AQ$51,5,FALSE)="Core",
                        VLOOKUP(AM$2,'TIS Site Config'!$A$3:$AQ$51,6,FALSE)="Non-Heated"),
                              1,0)</f>
        <v>0</v>
      </c>
      <c r="AN17" s="179">
        <f>IF(
             AND(VLOOKUP(AN$2,'TIS Site Config'!$A$3:$AQ$51,5,FALSE)="Core",
                        VLOOKUP(AN$2,'TIS Site Config'!$A$3:$AQ$51,6,FALSE)="Non-Heated"),
                              1,0)</f>
        <v>0</v>
      </c>
      <c r="AO17" s="129">
        <f>IF(
             AND(VLOOKUP(AO$2,'TIS Site Config'!$A$3:$AQ$51,5,FALSE)="Core",
                        VLOOKUP(AO$2,'TIS Site Config'!$A$3:$AQ$51,6,FALSE)="Non-Heated"),
                              1,0)</f>
        <v>0</v>
      </c>
      <c r="AP17" s="178">
        <f>IF(
             AND(VLOOKUP(AP$2,'TIS Site Config'!$A$3:$AQ$51,5,FALSE)="Core",
                        VLOOKUP(AP$2,'TIS Site Config'!$A$3:$AQ$51,6,FALSE)="Non-Heated"),
                              1,0)</f>
        <v>0</v>
      </c>
      <c r="AQ17" s="129">
        <f>IF(
             AND(VLOOKUP(AQ$2,'TIS Site Config'!$A$3:$AQ$51,5,FALSE)="Core",
                        VLOOKUP(AQ$2,'TIS Site Config'!$A$3:$AQ$51,6,FALSE)="Non-Heated"),
                              1,0)</f>
        <v>0</v>
      </c>
      <c r="AR17" s="129">
        <f>IF(
             AND(VLOOKUP(AR$2,'TIS Site Config'!$A$3:$AQ$51,5,FALSE)="Core",
                        VLOOKUP(AR$2,'TIS Site Config'!$A$3:$AQ$51,6,FALSE)="Non-Heated"),
                              1,0)</f>
        <v>0</v>
      </c>
      <c r="AS17" s="178">
        <f>IF(
             AND(VLOOKUP(AS$2,'TIS Site Config'!$A$3:$AQ$51,5,FALSE)="Core",
                        VLOOKUP(AS$2,'TIS Site Config'!$A$3:$AQ$51,6,FALSE)="Non-Heated"),
                              1,0)</f>
        <v>0</v>
      </c>
      <c r="AT17" s="129">
        <f>IF(
             AND(VLOOKUP(AT$2,'TIS Site Config'!$A$3:$AQ$51,5,FALSE)="Core",
                        VLOOKUP(AT$2,'TIS Site Config'!$A$3:$AQ$51,6,FALSE)="Non-Heated"),
                              1,0)</f>
        <v>1</v>
      </c>
      <c r="AU17" s="178">
        <f>IF(
             AND(VLOOKUP(AU$2,'TIS Site Config'!$A$3:$AQ$51,5,FALSE)="Core",
                        VLOOKUP(AU$2,'TIS Site Config'!$A$3:$AQ$51,6,FALSE)="Non-Heated"),
                              1,0)</f>
        <v>0</v>
      </c>
      <c r="AV17" s="129">
        <f>IF(
             AND(VLOOKUP(AV$2,'TIS Site Config'!$A$3:$AQ$51,5,FALSE)="Core",
                        VLOOKUP(AV$2,'TIS Site Config'!$A$3:$AQ$51,6,FALSE)="Non-Heated"),
                              1,0)</f>
        <v>0</v>
      </c>
      <c r="AW17" s="129">
        <f>IF(
             AND(VLOOKUP(AW$2,'TIS Site Config'!$A$3:$AQ$51,5,FALSE)="Core",
                        VLOOKUP(AW$2,'TIS Site Config'!$A$3:$AQ$51,6,FALSE)="Non-Heated"),
                              1,0)</f>
        <v>0</v>
      </c>
      <c r="AX17" s="179">
        <f>IF(
             AND(VLOOKUP(AX$2,'TIS Site Config'!$A$3:$AQ$51,5,FALSE)="Core",
                        VLOOKUP(AX$2,'TIS Site Config'!$A$3:$AQ$51,6,FALSE)="Non-Heated"),
                              1,0)</f>
        <v>0</v>
      </c>
      <c r="AY17" s="129">
        <f>IF(
             AND(VLOOKUP(AY$2,'TIS Site Config'!$A$3:$AQ$51,5,FALSE)="Core",
                        VLOOKUP(AY$2,'TIS Site Config'!$A$3:$AQ$51,6,FALSE)="Non-Heated"),
                              1,0)</f>
        <v>0</v>
      </c>
      <c r="AZ17" s="178">
        <f>IF(
             AND(VLOOKUP(AZ$2,'TIS Site Config'!$A$3:$AQ$51,5,FALSE)="Core",
                        VLOOKUP(AZ$2,'TIS Site Config'!$A$3:$AQ$51,6,FALSE)="Non-Heated"),
                              1,0)</f>
        <v>0</v>
      </c>
      <c r="BA17" s="180">
        <f>IF(
             AND(VLOOKUP(BA$2,'TIS Site Config'!$A$3:$AQ$51,5,FALSE)="Core",
                        VLOOKUP(BA$2,'TIS Site Config'!$A$3:$AQ$51,6,FALSE)="Non-Heated"),
                              1,0)</f>
        <v>0</v>
      </c>
      <c r="BB17" s="129">
        <f>IF(
             AND(VLOOKUP(BB$2,'TIS Site Config'!$A$3:$AQ$51,5,FALSE)="Core",
                        VLOOKUP(BB$2,'TIS Site Config'!$A$3:$AQ$51,6,FALSE)="Non-Heated"),
                              1,0)</f>
        <v>0</v>
      </c>
      <c r="BC17" s="179">
        <f>IF(
             AND(VLOOKUP(BC$2,'TIS Site Config'!$A$3:$AQ$51,5,FALSE)="Core",
                        VLOOKUP(BC$2,'TIS Site Config'!$A$3:$AQ$51,6,FALSE)="Non-Heated"),
                              1,0)</f>
        <v>0</v>
      </c>
      <c r="BD17" s="129">
        <f>IF(
             AND(VLOOKUP(BD$2,'TIS Site Config'!$A$3:$AQ$51,5,FALSE)="Core",
                        VLOOKUP(BD$2,'TIS Site Config'!$A$3:$AQ$51,6,FALSE)="Non-Heated"),
                              1,0)</f>
        <v>0</v>
      </c>
      <c r="BE17" s="178">
        <f>IF(
             AND(VLOOKUP(BE$2,'TIS Site Config'!$A$3:$AQ$51,5,FALSE)="Core",
                        VLOOKUP(BE$2,'TIS Site Config'!$A$3:$AQ$51,6,FALSE)="Non-Heated"),
                              1,0)</f>
        <v>0</v>
      </c>
      <c r="BF17" s="179">
        <f>IF(
             AND(VLOOKUP(BF$2,'TIS Site Config'!$A$3:$AQ$51,5,FALSE)="Core",
                        VLOOKUP(BF$2,'TIS Site Config'!$A$3:$AQ$51,6,FALSE)="Non-Heated"),
                              1,0)</f>
        <v>0</v>
      </c>
      <c r="BG17" s="181">
        <f>IF(
             AND(VLOOKUP(BG$2,'TIS Site Config'!$A$3:$AQ$51,5,FALSE)="Core",
                        VLOOKUP(BG$2,'TIS Site Config'!$A$3:$AQ$51,6,FALSE)="Non-Heated"),
                              1,0)</f>
        <v>1</v>
      </c>
      <c r="BH17" s="181">
        <f>IF(
             AND(VLOOKUP(BH$2,'TIS Site Config'!$A$3:$AQ$51,5,FALSE)="Core",
                        VLOOKUP(BH$2,'TIS Site Config'!$A$3:$AQ$51,6,FALSE)="Non-Heated"),
                              1,0)</f>
        <v>0</v>
      </c>
      <c r="BK17" s="10">
        <v>5</v>
      </c>
      <c r="BL17" s="950" t="b">
        <f t="shared" si="0"/>
        <v>1</v>
      </c>
      <c r="BO17" s="950"/>
    </row>
    <row r="18" spans="1:67" s="10" customFormat="1" x14ac:dyDescent="0.25">
      <c r="A18" s="1330"/>
      <c r="B18" s="1345"/>
      <c r="C18" s="59" t="s">
        <v>422</v>
      </c>
      <c r="D18" s="60">
        <v>3</v>
      </c>
      <c r="E18" s="84" t="s">
        <v>419</v>
      </c>
      <c r="F18" s="60">
        <f t="shared" si="1"/>
        <v>15</v>
      </c>
      <c r="G18" s="459">
        <v>1</v>
      </c>
      <c r="H18" s="460"/>
      <c r="I18" s="460"/>
      <c r="J18" s="460"/>
      <c r="K18" s="461"/>
      <c r="L18" s="494"/>
      <c r="M18" s="128">
        <f>IF(
             AND(VLOOKUP(M$2,'TIS Site Config'!$A$3:$AQ$51,5,FALSE)="Core",
                        OR(VLOOKUP(M$2,'TIS Site Config'!$A$3:$AQ$51,6,FALSE)="Heated",
                                VLOOKUP(M$2,'TIS Site Config'!$A$3:$AQ$51,6,FALSE)="Extreme Heated")),
                              1,0)</f>
        <v>1</v>
      </c>
      <c r="N18" s="173">
        <f>IF(
             AND(VLOOKUP(N$2,'TIS Site Config'!$A$3:$AQ$51,5,FALSE)="Core",
                        OR(VLOOKUP(N$2,'TIS Site Config'!$A$3:$AQ$51,6,FALSE)="Heated",
                                VLOOKUP(N$2,'TIS Site Config'!$A$3:$AQ$51,6,FALSE)="Extreme Heated")),
                              1,0)</f>
        <v>0</v>
      </c>
      <c r="O18" s="177">
        <f>IF(
             AND(VLOOKUP(O$2,'TIS Site Config'!$A$3:$AQ$51,5,FALSE)="Core",
                        OR(VLOOKUP(O$2,'TIS Site Config'!$A$3:$AQ$51,6,FALSE)="Heated",
                                VLOOKUP(O$2,'TIS Site Config'!$A$3:$AQ$51,6,FALSE)="Extreme Heated")),
                              1,0)</f>
        <v>1</v>
      </c>
      <c r="P18" s="159">
        <f>IF(
             AND(VLOOKUP(P$2,'TIS Site Config'!$A$3:$AQ$51,5,FALSE)="Core",
                        OR(VLOOKUP(P$2,'TIS Site Config'!$A$3:$AQ$51,6,FALSE)="Heated",
                                VLOOKUP(P$2,'TIS Site Config'!$A$3:$AQ$51,6,FALSE)="Extreme Heated")),
                              1,0)</f>
        <v>0</v>
      </c>
      <c r="Q18" s="173">
        <f>IF(
             AND(VLOOKUP(Q$2,'TIS Site Config'!$A$3:$AQ$51,5,FALSE)="Core",
                        OR(VLOOKUP(Q$2,'TIS Site Config'!$A$3:$AQ$51,6,FALSE)="Heated",
                                VLOOKUP(Q$2,'TIS Site Config'!$A$3:$AQ$51,6,FALSE)="Extreme Heated")),
                              1,0)</f>
        <v>0</v>
      </c>
      <c r="R18" s="128">
        <f>IF(
             AND(VLOOKUP(R$2,'TIS Site Config'!$A$3:$AQ$51,5,FALSE)="Core",
                        OR(VLOOKUP(R$2,'TIS Site Config'!$A$3:$AQ$51,6,FALSE)="Heated",
                                VLOOKUP(R$2,'TIS Site Config'!$A$3:$AQ$51,6,FALSE)="Extreme Heated")),
                              1,0)</f>
        <v>0</v>
      </c>
      <c r="S18" s="159">
        <f>IF(
             AND(VLOOKUP(S$2,'TIS Site Config'!$A$3:$AQ$51,5,FALSE)="Core",
                        OR(VLOOKUP(S$2,'TIS Site Config'!$A$3:$AQ$51,6,FALSE)="Heated",
                                VLOOKUP(S$2,'TIS Site Config'!$A$3:$AQ$51,6,FALSE)="Extreme Heated")),
                              1,0)</f>
        <v>0</v>
      </c>
      <c r="T18" s="173">
        <f>IF(
             AND(VLOOKUP(T$2,'TIS Site Config'!$A$3:$AQ$51,5,FALSE)="Core",
                        OR(VLOOKUP(T$2,'TIS Site Config'!$A$3:$AQ$51,6,FALSE)="Heated",
                                VLOOKUP(T$2,'TIS Site Config'!$A$3:$AQ$51,6,FALSE)="Extreme Heated")),
                              1,0)</f>
        <v>0</v>
      </c>
      <c r="U18" s="128">
        <f>IF(
             AND(VLOOKUP(U$2,'TIS Site Config'!$A$3:$AQ$51,5,FALSE)="Core",
                        OR(VLOOKUP(U$2,'TIS Site Config'!$A$3:$AQ$51,6,FALSE)="Heated",
                                VLOOKUP(U$2,'TIS Site Config'!$A$3:$AQ$51,6,FALSE)="Extreme Heated")),
                              1,0)</f>
        <v>0</v>
      </c>
      <c r="V18" s="173">
        <f>IF(
             AND(VLOOKUP(V$2,'TIS Site Config'!$A$3:$AQ$51,5,FALSE)="Core",
                        OR(VLOOKUP(V$2,'TIS Site Config'!$A$3:$AQ$51,6,FALSE)="Heated",
                                VLOOKUP(V$2,'TIS Site Config'!$A$3:$AQ$51,6,FALSE)="Extreme Heated")),
                              1,0)</f>
        <v>0</v>
      </c>
      <c r="W18" s="176">
        <f>IF(
             AND(VLOOKUP(W$2,'TIS Site Config'!$A$3:$AQ$51,5,FALSE)="Core",
                        OR(VLOOKUP(W$2,'TIS Site Config'!$A$3:$AQ$51,6,FALSE)="Heated",
                                VLOOKUP(W$2,'TIS Site Config'!$A$3:$AQ$51,6,FALSE)="Extreme Heated")),
                              1,0)</f>
        <v>1</v>
      </c>
      <c r="X18" s="159">
        <f>IF(
             AND(VLOOKUP(X$2,'TIS Site Config'!$A$3:$AQ$51,5,FALSE)="Core",
                        OR(VLOOKUP(X$2,'TIS Site Config'!$A$3:$AQ$51,6,FALSE)="Heated",
                                VLOOKUP(X$2,'TIS Site Config'!$A$3:$AQ$51,6,FALSE)="Extreme Heated")),
                              1,0)</f>
        <v>0</v>
      </c>
      <c r="Y18" s="173">
        <f>IF(
             AND(VLOOKUP(Y$2,'TIS Site Config'!$A$3:$AQ$51,5,FALSE)="Core",
                        OR(VLOOKUP(Y$2,'TIS Site Config'!$A$3:$AQ$51,6,FALSE)="Heated",
                                VLOOKUP(Y$2,'TIS Site Config'!$A$3:$AQ$51,6,FALSE)="Extreme Heated")),
                              1,0)</f>
        <v>0</v>
      </c>
      <c r="Z18" s="128">
        <f>IF(
             AND(VLOOKUP(Z$2,'TIS Site Config'!$A$3:$AQ$51,5,FALSE)="Core",
                        OR(VLOOKUP(Z$2,'TIS Site Config'!$A$3:$AQ$51,6,FALSE)="Heated",
                                VLOOKUP(Z$2,'TIS Site Config'!$A$3:$AQ$51,6,FALSE)="Extreme Heated")),
                              1,0)</f>
        <v>1</v>
      </c>
      <c r="AA18" s="159">
        <f>IF(
             AND(VLOOKUP(AA$2,'TIS Site Config'!$A$3:$AQ$51,5,FALSE)="Core",
                        OR(VLOOKUP(AA$2,'TIS Site Config'!$A$3:$AQ$51,6,FALSE)="Heated",
                                VLOOKUP(AA$2,'TIS Site Config'!$A$3:$AQ$51,6,FALSE)="Extreme Heated")),
                              1,0)</f>
        <v>0</v>
      </c>
      <c r="AB18" s="173">
        <f>IF(
             AND(VLOOKUP(AB$2,'TIS Site Config'!$A$3:$AQ$51,5,FALSE)="Core",
                        OR(VLOOKUP(AB$2,'TIS Site Config'!$A$3:$AQ$51,6,FALSE)="Heated",
                                VLOOKUP(AB$2,'TIS Site Config'!$A$3:$AQ$51,6,FALSE)="Extreme Heated")),
                              1,0)</f>
        <v>0</v>
      </c>
      <c r="AC18" s="159">
        <f>IF(
             AND(VLOOKUP(AC$2,'TIS Site Config'!$A$3:$AQ$51,5,FALSE)="Core",
                        OR(VLOOKUP(AC$2,'TIS Site Config'!$A$3:$AQ$51,6,FALSE)="Heated",
                                VLOOKUP(AC$2,'TIS Site Config'!$A$3:$AQ$51,6,FALSE)="Extreme Heated")),
                              1,0)</f>
        <v>1</v>
      </c>
      <c r="AD18" s="174">
        <f>IF(
             AND(VLOOKUP(AD$2,'TIS Site Config'!$A$3:$AQ$51,5,FALSE)="Core",
                        OR(VLOOKUP(AD$2,'TIS Site Config'!$A$3:$AQ$51,6,FALSE)="Heated",
                                VLOOKUP(AD$2,'TIS Site Config'!$A$3:$AQ$51,6,FALSE)="Extreme Heated")),
                              1,0)</f>
        <v>0</v>
      </c>
      <c r="AE18" s="174">
        <f>IF(
             AND(VLOOKUP(AE$2,'TIS Site Config'!$A$3:$AQ$51,5,FALSE)="Core",
                        OR(VLOOKUP(AE$2,'TIS Site Config'!$A$3:$AQ$51,6,FALSE)="Heated",
                                VLOOKUP(AE$2,'TIS Site Config'!$A$3:$AQ$51,6,FALSE)="Extreme Heated")),
                              1,0)</f>
        <v>0</v>
      </c>
      <c r="AF18" s="996">
        <f>IF(
             AND(VLOOKUP(AF$2,'TIS Site Config'!$A$3:$AQ$51,5,FALSE)="Core",
                        OR(VLOOKUP(AF$2,'TIS Site Config'!$A$3:$AQ$51,6,FALSE)="Heated",
                                VLOOKUP(AF$2,'TIS Site Config'!$A$3:$AQ$51,6,FALSE)="Extreme Heated")),
                              1,0)</f>
        <v>0</v>
      </c>
      <c r="AG18" s="159">
        <f>IF(
             AND(VLOOKUP(AG$2,'TIS Site Config'!$A$3:$AQ$51,5,FALSE)="Core",
                        OR(VLOOKUP(AG$2,'TIS Site Config'!$A$3:$AQ$51,6,FALSE)="Heated",
                                VLOOKUP(AG$2,'TIS Site Config'!$A$3:$AQ$51,6,FALSE)="Extreme Heated")),
                              1,0)</f>
        <v>0</v>
      </c>
      <c r="AH18" s="173">
        <f>IF(
             AND(VLOOKUP(AH$2,'TIS Site Config'!$A$3:$AQ$51,5,FALSE)="Core",
                        OR(VLOOKUP(AH$2,'TIS Site Config'!$A$3:$AQ$51,6,FALSE)="Heated",
                                VLOOKUP(AH$2,'TIS Site Config'!$A$3:$AQ$51,6,FALSE)="Extreme Heated")),
                              1,0)</f>
        <v>0</v>
      </c>
      <c r="AI18" s="128">
        <f>IF(
             AND(VLOOKUP(AI$2,'TIS Site Config'!$A$3:$AQ$51,5,FALSE)="Core",
                        OR(VLOOKUP(AI$2,'TIS Site Config'!$A$3:$AQ$51,6,FALSE)="Heated",
                                VLOOKUP(AI$2,'TIS Site Config'!$A$3:$AQ$51,6,FALSE)="Extreme Heated")),
                              1,0)</f>
        <v>1</v>
      </c>
      <c r="AJ18" s="159">
        <f>IF(
             AND(VLOOKUP(AJ$2,'TIS Site Config'!$A$3:$AQ$51,5,FALSE)="Core",
                        OR(VLOOKUP(AJ$2,'TIS Site Config'!$A$3:$AQ$51,6,FALSE)="Heated",
                                VLOOKUP(AJ$2,'TIS Site Config'!$A$3:$AQ$51,6,FALSE)="Extreme Heated")),
                              1,0)</f>
        <v>0</v>
      </c>
      <c r="AK18" s="173">
        <f>IF(
             AND(VLOOKUP(AK$2,'TIS Site Config'!$A$3:$AQ$51,5,FALSE)="Core",
                        OR(VLOOKUP(AK$2,'TIS Site Config'!$A$3:$AQ$51,6,FALSE)="Heated",
                                VLOOKUP(AK$2,'TIS Site Config'!$A$3:$AQ$51,6,FALSE)="Extreme Heated")),
                              1,0)</f>
        <v>0</v>
      </c>
      <c r="AL18" s="128">
        <f>IF(
             AND(VLOOKUP(AL$2,'TIS Site Config'!$A$3:$AQ$51,5,FALSE)="Core",
                        OR(VLOOKUP(AL$2,'TIS Site Config'!$A$3:$AQ$51,6,FALSE)="Heated",
                                VLOOKUP(AL$2,'TIS Site Config'!$A$3:$AQ$51,6,FALSE)="Extreme Heated")),
                              1,0)</f>
        <v>1</v>
      </c>
      <c r="AM18" s="159">
        <f>IF(
             AND(VLOOKUP(AM$2,'TIS Site Config'!$A$3:$AQ$51,5,FALSE)="Core",
                        OR(VLOOKUP(AM$2,'TIS Site Config'!$A$3:$AQ$51,6,FALSE)="Heated",
                                VLOOKUP(AM$2,'TIS Site Config'!$A$3:$AQ$51,6,FALSE)="Extreme Heated")),
                              1,0)</f>
        <v>0</v>
      </c>
      <c r="AN18" s="173">
        <f>IF(
             AND(VLOOKUP(AN$2,'TIS Site Config'!$A$3:$AQ$51,5,FALSE)="Core",
                        OR(VLOOKUP(AN$2,'TIS Site Config'!$A$3:$AQ$51,6,FALSE)="Heated",
                                VLOOKUP(AN$2,'TIS Site Config'!$A$3:$AQ$51,6,FALSE)="Extreme Heated")),
                              1,0)</f>
        <v>0</v>
      </c>
      <c r="AO18" s="128">
        <f>IF(
             AND(VLOOKUP(AO$2,'TIS Site Config'!$A$3:$AQ$51,5,FALSE)="Core",
                        OR(VLOOKUP(AO$2,'TIS Site Config'!$A$3:$AQ$51,6,FALSE)="Heated",
                                VLOOKUP(AO$2,'TIS Site Config'!$A$3:$AQ$51,6,FALSE)="Extreme Heated")),
                              1,0)</f>
        <v>1</v>
      </c>
      <c r="AP18" s="159">
        <f>IF(
             AND(VLOOKUP(AP$2,'TIS Site Config'!$A$3:$AQ$51,5,FALSE)="Core",
                        OR(VLOOKUP(AP$2,'TIS Site Config'!$A$3:$AQ$51,6,FALSE)="Heated",
                                VLOOKUP(AP$2,'TIS Site Config'!$A$3:$AQ$51,6,FALSE)="Extreme Heated")),
                              1,0)</f>
        <v>0</v>
      </c>
      <c r="AQ18" s="128">
        <f>IF(
             AND(VLOOKUP(AQ$2,'TIS Site Config'!$A$3:$AQ$51,5,FALSE)="Core",
                        OR(VLOOKUP(AQ$2,'TIS Site Config'!$A$3:$AQ$51,6,FALSE)="Heated",
                                VLOOKUP(AQ$2,'TIS Site Config'!$A$3:$AQ$51,6,FALSE)="Extreme Heated")),
                              1,0)</f>
        <v>1</v>
      </c>
      <c r="AR18" s="128">
        <f>IF(
             AND(VLOOKUP(AR$2,'TIS Site Config'!$A$3:$AQ$51,5,FALSE)="Core",
                        OR(VLOOKUP(AR$2,'TIS Site Config'!$A$3:$AQ$51,6,FALSE)="Heated",
                                VLOOKUP(AR$2,'TIS Site Config'!$A$3:$AQ$51,6,FALSE)="Extreme Heated")),
                              1,0)</f>
        <v>1</v>
      </c>
      <c r="AS18" s="159">
        <f>IF(
             AND(VLOOKUP(AS$2,'TIS Site Config'!$A$3:$AQ$51,5,FALSE)="Core",
                        OR(VLOOKUP(AS$2,'TIS Site Config'!$A$3:$AQ$51,6,FALSE)="Heated",
                                VLOOKUP(AS$2,'TIS Site Config'!$A$3:$AQ$51,6,FALSE)="Extreme Heated")),
                              1,0)</f>
        <v>0</v>
      </c>
      <c r="AT18" s="128">
        <f>IF(
             AND(VLOOKUP(AT$2,'TIS Site Config'!$A$3:$AQ$51,5,FALSE)="Core",
                        OR(VLOOKUP(AT$2,'TIS Site Config'!$A$3:$AQ$51,6,FALSE)="Heated",
                                VLOOKUP(AT$2,'TIS Site Config'!$A$3:$AQ$51,6,FALSE)="Extreme Heated")),
                              1,0)</f>
        <v>0</v>
      </c>
      <c r="AU18" s="159">
        <f>IF(
             AND(VLOOKUP(AU$2,'TIS Site Config'!$A$3:$AQ$51,5,FALSE)="Core",
                        OR(VLOOKUP(AU$2,'TIS Site Config'!$A$3:$AQ$51,6,FALSE)="Heated",
                                VLOOKUP(AU$2,'TIS Site Config'!$A$3:$AQ$51,6,FALSE)="Extreme Heated")),
                              1,0)</f>
        <v>0</v>
      </c>
      <c r="AV18" s="128">
        <f>IF(
             AND(VLOOKUP(AV$2,'TIS Site Config'!$A$3:$AQ$51,5,FALSE)="Core",
                        OR(VLOOKUP(AV$2,'TIS Site Config'!$A$3:$AQ$51,6,FALSE)="Heated",
                                VLOOKUP(AV$2,'TIS Site Config'!$A$3:$AQ$51,6,FALSE)="Extreme Heated")),
                              1,0)</f>
        <v>1</v>
      </c>
      <c r="AW18" s="128">
        <f>IF(
             AND(VLOOKUP(AW$2,'TIS Site Config'!$A$3:$AQ$51,5,FALSE)="Core",
                        OR(VLOOKUP(AW$2,'TIS Site Config'!$A$3:$AQ$51,6,FALSE)="Heated",
                                VLOOKUP(AW$2,'TIS Site Config'!$A$3:$AQ$51,6,FALSE)="Extreme Heated")),
                              1,0)</f>
        <v>1</v>
      </c>
      <c r="AX18" s="173">
        <f>IF(
             AND(VLOOKUP(AX$2,'TIS Site Config'!$A$3:$AQ$51,5,FALSE)="Core",
                        OR(VLOOKUP(AX$2,'TIS Site Config'!$A$3:$AQ$51,6,FALSE)="Heated",
                                VLOOKUP(AX$2,'TIS Site Config'!$A$3:$AQ$51,6,FALSE)="Extreme Heated")),
                              1,0)</f>
        <v>0</v>
      </c>
      <c r="AY18" s="128">
        <f>IF(
             AND(VLOOKUP(AY$2,'TIS Site Config'!$A$3:$AQ$51,5,FALSE)="Core",
                        OR(VLOOKUP(AY$2,'TIS Site Config'!$A$3:$AQ$51,6,FALSE)="Heated",
                                VLOOKUP(AY$2,'TIS Site Config'!$A$3:$AQ$51,6,FALSE)="Extreme Heated")),
                              1,0)</f>
        <v>1</v>
      </c>
      <c r="AZ18" s="159">
        <f>IF(
             AND(VLOOKUP(AZ$2,'TIS Site Config'!$A$3:$AQ$51,5,FALSE)="Core",
                        OR(VLOOKUP(AZ$2,'TIS Site Config'!$A$3:$AQ$51,6,FALSE)="Heated",
                                VLOOKUP(AZ$2,'TIS Site Config'!$A$3:$AQ$51,6,FALSE)="Extreme Heated")),
                              1,0)</f>
        <v>0</v>
      </c>
      <c r="BA18" s="174">
        <f>IF(
             AND(VLOOKUP(BA$2,'TIS Site Config'!$A$3:$AQ$51,5,FALSE)="Core",
                        OR(VLOOKUP(BA$2,'TIS Site Config'!$A$3:$AQ$51,6,FALSE)="Heated",
                                VLOOKUP(BA$2,'TIS Site Config'!$A$3:$AQ$51,6,FALSE)="Extreme Heated")),
                              1,0)</f>
        <v>0</v>
      </c>
      <c r="BB18" s="128">
        <f>IF(
             AND(VLOOKUP(BB$2,'TIS Site Config'!$A$3:$AQ$51,5,FALSE)="Core",
                        OR(VLOOKUP(BB$2,'TIS Site Config'!$A$3:$AQ$51,6,FALSE)="Heated",
                                VLOOKUP(BB$2,'TIS Site Config'!$A$3:$AQ$51,6,FALSE)="Extreme Heated")),
                              1,0)</f>
        <v>1</v>
      </c>
      <c r="BC18" s="173">
        <f>IF(
             AND(VLOOKUP(BC$2,'TIS Site Config'!$A$3:$AQ$51,5,FALSE)="Core",
                        OR(VLOOKUP(BC$2,'TIS Site Config'!$A$3:$AQ$51,6,FALSE)="Heated",
                                VLOOKUP(BC$2,'TIS Site Config'!$A$3:$AQ$51,6,FALSE)="Extreme Heated")),
                              1,0)</f>
        <v>0</v>
      </c>
      <c r="BD18" s="128">
        <f>IF(
             AND(VLOOKUP(BD$2,'TIS Site Config'!$A$3:$AQ$51,5,FALSE)="Core",
                        OR(VLOOKUP(BD$2,'TIS Site Config'!$A$3:$AQ$51,6,FALSE)="Heated",
                                VLOOKUP(BD$2,'TIS Site Config'!$A$3:$AQ$51,6,FALSE)="Extreme Heated")),
                              1,0)</f>
        <v>1</v>
      </c>
      <c r="BE18" s="159">
        <f>IF(
             AND(VLOOKUP(BE$2,'TIS Site Config'!$A$3:$AQ$51,5,FALSE)="Core",
                        OR(VLOOKUP(BE$2,'TIS Site Config'!$A$3:$AQ$51,6,FALSE)="Heated",
                                VLOOKUP(BE$2,'TIS Site Config'!$A$3:$AQ$51,6,FALSE)="Extreme Heated")),
                              1,0)</f>
        <v>0</v>
      </c>
      <c r="BF18" s="173">
        <f>IF(
             AND(VLOOKUP(BF$2,'TIS Site Config'!$A$3:$AQ$51,5,FALSE)="Core",
                        OR(VLOOKUP(BF$2,'TIS Site Config'!$A$3:$AQ$51,6,FALSE)="Heated",
                                VLOOKUP(BF$2,'TIS Site Config'!$A$3:$AQ$51,6,FALSE)="Extreme Heated")),
                              1,0)</f>
        <v>0</v>
      </c>
      <c r="BG18" s="175">
        <f>IF(
             AND(VLOOKUP(BG$2,'TIS Site Config'!$A$3:$AQ$51,5,FALSE)="Core",
                        OR(VLOOKUP(BG$2,'TIS Site Config'!$A$3:$AQ$51,6,FALSE)="Heated",
                                VLOOKUP(BG$2,'TIS Site Config'!$A$3:$AQ$51,6,FALSE)="Extreme Heated")),
                              1,0)</f>
        <v>0</v>
      </c>
      <c r="BH18" s="175">
        <f>IF(
             AND(VLOOKUP(BH$2,'TIS Site Config'!$A$3:$AQ$51,5,FALSE)="Core",
                        OR(VLOOKUP(BH$2,'TIS Site Config'!$A$3:$AQ$51,6,FALSE)="Heated",
                                VLOOKUP(BH$2,'TIS Site Config'!$A$3:$AQ$51,6,FALSE)="Extreme Heated")),
                              1,0)</f>
        <v>1</v>
      </c>
      <c r="BK18" s="10">
        <v>15</v>
      </c>
      <c r="BL18" s="950" t="b">
        <f t="shared" si="0"/>
        <v>1</v>
      </c>
      <c r="BO18" s="950"/>
    </row>
    <row r="19" spans="1:67" s="44" customFormat="1" ht="15" customHeight="1" x14ac:dyDescent="0.25">
      <c r="A19" s="1330"/>
      <c r="B19" s="1335" t="s">
        <v>589</v>
      </c>
      <c r="C19" s="59" t="s">
        <v>557</v>
      </c>
      <c r="D19" s="74">
        <v>4</v>
      </c>
      <c r="E19" s="84" t="s">
        <v>559</v>
      </c>
      <c r="F19" s="60">
        <f t="shared" si="1"/>
        <v>2</v>
      </c>
      <c r="G19" s="462"/>
      <c r="H19" s="463"/>
      <c r="I19" s="463"/>
      <c r="J19" s="463"/>
      <c r="K19" s="464"/>
      <c r="L19" s="495"/>
      <c r="M19" s="128">
        <f>IF(AND(VLOOKUP(M$2,'TIS Site Config'!$A$3:$AQ$51,8,FALSE)="No Power, No Fiber",
                   VLOOKUP(M$2,'TIS Site Config'!$A$3:$AQ$51,6,FALSE)="Non-Heated"),
         1,0)</f>
        <v>0</v>
      </c>
      <c r="N19" s="173">
        <f>IF(AND(VLOOKUP(N$2,'TIS Site Config'!$A$3:$AQ$51,8,FALSE)="No Power, No Fiber",
                   VLOOKUP(N$2,'TIS Site Config'!$A$3:$AQ$51,6,FALSE)="Non-Heated"),
         1,0)</f>
        <v>0</v>
      </c>
      <c r="O19" s="177">
        <f>IF(AND(VLOOKUP(O$2,'TIS Site Config'!$A$3:$AQ$51,8,FALSE)="No Power, No Fiber",
                   VLOOKUP(O$2,'TIS Site Config'!$A$3:$AQ$51,6,FALSE)="Non-Heated"),
         1,0)</f>
        <v>0</v>
      </c>
      <c r="P19" s="159">
        <f>IF(AND(VLOOKUP(P$2,'TIS Site Config'!$A$3:$AQ$51,8,FALSE)="No Power, No Fiber",
                   VLOOKUP(P$2,'TIS Site Config'!$A$3:$AQ$51,6,FALSE)="Non-Heated"),
         1,0)</f>
        <v>0</v>
      </c>
      <c r="Q19" s="173">
        <f>IF(AND(VLOOKUP(Q$2,'TIS Site Config'!$A$3:$AQ$51,8,FALSE)="No Power, No Fiber",
                   VLOOKUP(Q$2,'TIS Site Config'!$A$3:$AQ$51,6,FALSE)="Non-Heated"),
         1,0)</f>
        <v>0</v>
      </c>
      <c r="R19" s="128">
        <f>IF(AND(VLOOKUP(R$2,'TIS Site Config'!$A$3:$AQ$51,8,FALSE)="No Power, No Fiber",
                   VLOOKUP(R$2,'TIS Site Config'!$A$3:$AQ$51,6,FALSE)="Non-Heated"),
         1,0)</f>
        <v>0</v>
      </c>
      <c r="S19" s="159">
        <f>IF(AND(VLOOKUP(S$2,'TIS Site Config'!$A$3:$AQ$51,8,FALSE)="No Power, No Fiber",
                   VLOOKUP(S$2,'TIS Site Config'!$A$3:$AQ$51,6,FALSE)="Non-Heated"),
         1,0)</f>
        <v>0</v>
      </c>
      <c r="T19" s="173">
        <f>IF(AND(VLOOKUP(T$2,'TIS Site Config'!$A$3:$AQ$51,8,FALSE)="No Power, No Fiber",
                   VLOOKUP(T$2,'TIS Site Config'!$A$3:$AQ$51,6,FALSE)="Non-Heated"),
         1,0)</f>
        <v>0</v>
      </c>
      <c r="U19" s="128">
        <f>IF(AND(VLOOKUP(U$2,'TIS Site Config'!$A$3:$AQ$51,8,FALSE)="No Power, No Fiber",
                   VLOOKUP(U$2,'TIS Site Config'!$A$3:$AQ$51,6,FALSE)="Non-Heated"),
         1,0)</f>
        <v>0</v>
      </c>
      <c r="V19" s="173">
        <f>IF(AND(VLOOKUP(V$2,'TIS Site Config'!$A$3:$AQ$51,8,FALSE)="No Power, No Fiber",
                   VLOOKUP(V$2,'TIS Site Config'!$A$3:$AQ$51,6,FALSE)="Non-Heated"),
         1,0)</f>
        <v>0</v>
      </c>
      <c r="W19" s="176">
        <f>IF(AND(VLOOKUP(W$2,'TIS Site Config'!$A$3:$AQ$51,8,FALSE)="No Power, No Fiber",
                   VLOOKUP(W$2,'TIS Site Config'!$A$3:$AQ$51,6,FALSE)="Non-Heated"),
         1,0)</f>
        <v>0</v>
      </c>
      <c r="X19" s="159">
        <f>IF(AND(VLOOKUP(X$2,'TIS Site Config'!$A$3:$AQ$51,8,FALSE)="No Power, No Fiber",
                   VLOOKUP(X$2,'TIS Site Config'!$A$3:$AQ$51,6,FALSE)="Non-Heated"),
         1,0)</f>
        <v>0</v>
      </c>
      <c r="Y19" s="173">
        <f>IF(AND(VLOOKUP(Y$2,'TIS Site Config'!$A$3:$AQ$51,8,FALSE)="No Power, No Fiber",
                   VLOOKUP(Y$2,'TIS Site Config'!$A$3:$AQ$51,6,FALSE)="Non-Heated"),
         1,0)</f>
        <v>0</v>
      </c>
      <c r="Z19" s="128">
        <f>IF(AND(VLOOKUP(Z$2,'TIS Site Config'!$A$3:$AQ$51,8,FALSE)="No Power, No Fiber",
                   VLOOKUP(Z$2,'TIS Site Config'!$A$3:$AQ$51,6,FALSE)="Non-Heated"),
         1,0)</f>
        <v>0</v>
      </c>
      <c r="AA19" s="159">
        <f>IF(AND(VLOOKUP(AA$2,'TIS Site Config'!$A$3:$AQ$51,8,FALSE)="No Power, No Fiber",
                   VLOOKUP(AA$2,'TIS Site Config'!$A$3:$AQ$51,6,FALSE)="Non-Heated"),
         1,0)</f>
        <v>0</v>
      </c>
      <c r="AB19" s="173">
        <f>IF(AND(VLOOKUP(AB$2,'TIS Site Config'!$A$3:$AQ$51,8,FALSE)="No Power, No Fiber",
                   VLOOKUP(AB$2,'TIS Site Config'!$A$3:$AQ$51,6,FALSE)="Non-Heated"),
         1,0)</f>
        <v>0</v>
      </c>
      <c r="AC19" s="159">
        <f>IF(AND(VLOOKUP(AC$2,'TIS Site Config'!$A$3:$AQ$51,8,FALSE)="No Power, No Fiber",
                   VLOOKUP(AC$2,'TIS Site Config'!$A$3:$AQ$51,6,FALSE)="Non-Heated"),
         1,0)</f>
        <v>0</v>
      </c>
      <c r="AD19" s="174">
        <f>IF(AND(VLOOKUP(AD$2,'TIS Site Config'!$A$3:$AQ$51,8,FALSE)="No Power, No Fiber",
                   VLOOKUP(AD$2,'TIS Site Config'!$A$3:$AQ$51,6,FALSE)="Non-Heated"),
         1,0)</f>
        <v>0</v>
      </c>
      <c r="AE19" s="174">
        <f>IF(AND(VLOOKUP(AE$2,'TIS Site Config'!$A$3:$AQ$51,8,FALSE)="No Power, No Fiber",
                   VLOOKUP(AE$2,'TIS Site Config'!$A$3:$AQ$51,6,FALSE)="Non-Heated"),
         1,0)</f>
        <v>0</v>
      </c>
      <c r="AF19" s="996">
        <f>IF(AND(VLOOKUP(AF$2,'TIS Site Config'!$A$3:$AQ$51,8,FALSE)="No Power, No Fiber",
                   VLOOKUP(AF$2,'TIS Site Config'!$A$3:$AQ$51,6,FALSE)="Non-Heated"),
         1,0)</f>
        <v>1</v>
      </c>
      <c r="AG19" s="159">
        <f>IF(AND(VLOOKUP(AG$2,'TIS Site Config'!$A$3:$AQ$51,8,FALSE)="No Power, No Fiber",
                   VLOOKUP(AG$2,'TIS Site Config'!$A$3:$AQ$51,6,FALSE)="Non-Heated"),
         1,0)</f>
        <v>0</v>
      </c>
      <c r="AH19" s="173">
        <f>IF(AND(VLOOKUP(AH$2,'TIS Site Config'!$A$3:$AQ$51,8,FALSE)="No Power, No Fiber",
                   VLOOKUP(AH$2,'TIS Site Config'!$A$3:$AQ$51,6,FALSE)="Non-Heated"),
         1,0)</f>
        <v>0</v>
      </c>
      <c r="AI19" s="128">
        <f>IF(AND(VLOOKUP(AI$2,'TIS Site Config'!$A$3:$AQ$51,8,FALSE)="No Power, No Fiber",
                   VLOOKUP(AI$2,'TIS Site Config'!$A$3:$AQ$51,6,FALSE)="Non-Heated"),
         1,0)</f>
        <v>0</v>
      </c>
      <c r="AJ19" s="159">
        <f>IF(AND(VLOOKUP(AJ$2,'TIS Site Config'!$A$3:$AQ$51,8,FALSE)="No Power, No Fiber",
                   VLOOKUP(AJ$2,'TIS Site Config'!$A$3:$AQ$51,6,FALSE)="Non-Heated"),
         1,0)</f>
        <v>0</v>
      </c>
      <c r="AK19" s="173">
        <f>IF(AND(VLOOKUP(AK$2,'TIS Site Config'!$A$3:$AQ$51,8,FALSE)="No Power, No Fiber",
                   VLOOKUP(AK$2,'TIS Site Config'!$A$3:$AQ$51,6,FALSE)="Non-Heated"),
         1,0)</f>
        <v>0</v>
      </c>
      <c r="AL19" s="128">
        <f>IF(AND(VLOOKUP(AL$2,'TIS Site Config'!$A$3:$AQ$51,8,FALSE)="No Power, No Fiber",
                   VLOOKUP(AL$2,'TIS Site Config'!$A$3:$AQ$51,6,FALSE)="Non-Heated"),
         1,0)</f>
        <v>0</v>
      </c>
      <c r="AM19" s="159">
        <f>IF(AND(VLOOKUP(AM$2,'TIS Site Config'!$A$3:$AQ$51,8,FALSE)="No Power, No Fiber",
                   VLOOKUP(AM$2,'TIS Site Config'!$A$3:$AQ$51,6,FALSE)="Non-Heated"),
         1,0)</f>
        <v>0</v>
      </c>
      <c r="AN19" s="173">
        <f>IF(AND(VLOOKUP(AN$2,'TIS Site Config'!$A$3:$AQ$51,8,FALSE)="No Power, No Fiber",
                   VLOOKUP(AN$2,'TIS Site Config'!$A$3:$AQ$51,6,FALSE)="Non-Heated"),
         1,0)</f>
        <v>0</v>
      </c>
      <c r="AO19" s="128">
        <f>IF(AND(VLOOKUP(AO$2,'TIS Site Config'!$A$3:$AQ$51,8,FALSE)="No Power, No Fiber",
                   VLOOKUP(AO$2,'TIS Site Config'!$A$3:$AQ$51,6,FALSE)="Non-Heated"),
         1,0)</f>
        <v>0</v>
      </c>
      <c r="AP19" s="159">
        <f>IF(AND(VLOOKUP(AP$2,'TIS Site Config'!$A$3:$AQ$51,8,FALSE)="No Power, No Fiber",
                   VLOOKUP(AP$2,'TIS Site Config'!$A$3:$AQ$51,6,FALSE)="Non-Heated"),
         1,0)</f>
        <v>0</v>
      </c>
      <c r="AQ19" s="128">
        <f>IF(AND(VLOOKUP(AQ$2,'TIS Site Config'!$A$3:$AQ$51,8,FALSE)="No Power, No Fiber",
                   VLOOKUP(AQ$2,'TIS Site Config'!$A$3:$AQ$51,6,FALSE)="Non-Heated"),
         1,0)</f>
        <v>0</v>
      </c>
      <c r="AR19" s="128">
        <f>IF(AND(VLOOKUP(AR$2,'TIS Site Config'!$A$3:$AQ$51,8,FALSE)="No Power, No Fiber",
                   VLOOKUP(AR$2,'TIS Site Config'!$A$3:$AQ$51,6,FALSE)="Non-Heated"),
         1,0)</f>
        <v>0</v>
      </c>
      <c r="AS19" s="159">
        <f>IF(AND(VLOOKUP(AS$2,'TIS Site Config'!$A$3:$AQ$51,8,FALSE)="No Power, No Fiber",
                   VLOOKUP(AS$2,'TIS Site Config'!$A$3:$AQ$51,6,FALSE)="Non-Heated"),
         1,0)</f>
        <v>0</v>
      </c>
      <c r="AT19" s="128">
        <f>IF(AND(VLOOKUP(AT$2,'TIS Site Config'!$A$3:$AQ$51,8,FALSE)="No Power, No Fiber",
                   VLOOKUP(AT$2,'TIS Site Config'!$A$3:$AQ$51,6,FALSE)="Non-Heated"),
         1,0)</f>
        <v>0</v>
      </c>
      <c r="AU19" s="159">
        <f>IF(AND(VLOOKUP(AU$2,'TIS Site Config'!$A$3:$AQ$51,8,FALSE)="No Power, No Fiber",
                   VLOOKUP(AU$2,'TIS Site Config'!$A$3:$AQ$51,6,FALSE)="Non-Heated"),
         1,0)</f>
        <v>0</v>
      </c>
      <c r="AV19" s="128">
        <f>IF(AND(VLOOKUP(AV$2,'TIS Site Config'!$A$3:$AQ$51,8,FALSE)="No Power, No Fiber",
                   VLOOKUP(AV$2,'TIS Site Config'!$A$3:$AQ$51,6,FALSE)="Non-Heated"),
         1,0)</f>
        <v>0</v>
      </c>
      <c r="AW19" s="128">
        <f>IF(AND(VLOOKUP(AW$2,'TIS Site Config'!$A$3:$AQ$51,8,FALSE)="No Power, No Fiber",
                   VLOOKUP(AW$2,'TIS Site Config'!$A$3:$AQ$51,6,FALSE)="Non-Heated"),
         1,0)</f>
        <v>0</v>
      </c>
      <c r="AX19" s="173">
        <f>IF(AND(VLOOKUP(AX$2,'TIS Site Config'!$A$3:$AQ$51,8,FALSE)="No Power, No Fiber",
                   VLOOKUP(AX$2,'TIS Site Config'!$A$3:$AQ$51,6,FALSE)="Non-Heated"),
         1,0)</f>
        <v>0</v>
      </c>
      <c r="AY19" s="128">
        <f>IF(AND(VLOOKUP(AY$2,'TIS Site Config'!$A$3:$AQ$51,8,FALSE)="No Power, No Fiber",
                   VLOOKUP(AY$2,'TIS Site Config'!$A$3:$AQ$51,6,FALSE)="Non-Heated"),
         1,0)</f>
        <v>0</v>
      </c>
      <c r="AZ19" s="159">
        <f>IF(AND(VLOOKUP(AZ$2,'TIS Site Config'!$A$3:$AQ$51,8,FALSE)="No Power, No Fiber",
                   VLOOKUP(AZ$2,'TIS Site Config'!$A$3:$AQ$51,6,FALSE)="Non-Heated"),
         1,0)</f>
        <v>0</v>
      </c>
      <c r="BA19" s="174">
        <f>IF(AND(VLOOKUP(BA$2,'TIS Site Config'!$A$3:$AQ$51,8,FALSE)="No Power, No Fiber",
                   VLOOKUP(BA$2,'TIS Site Config'!$A$3:$AQ$51,6,FALSE)="Non-Heated"),
         1,0)</f>
        <v>0</v>
      </c>
      <c r="BB19" s="128">
        <f>IF(AND(VLOOKUP(BB$2,'TIS Site Config'!$A$3:$AQ$51,8,FALSE)="No Power, No Fiber",
                   VLOOKUP(BB$2,'TIS Site Config'!$A$3:$AQ$51,6,FALSE)="Non-Heated"),
         1,0)</f>
        <v>0</v>
      </c>
      <c r="BC19" s="173">
        <f>IF(AND(VLOOKUP(BC$2,'TIS Site Config'!$A$3:$AQ$51,8,FALSE)="No Power, No Fiber",
                   VLOOKUP(BC$2,'TIS Site Config'!$A$3:$AQ$51,6,FALSE)="Non-Heated"),
         1,0)</f>
        <v>0</v>
      </c>
      <c r="BD19" s="128">
        <f>IF(AND(VLOOKUP(BD$2,'TIS Site Config'!$A$3:$AQ$51,8,FALSE)="No Power, No Fiber",
                   VLOOKUP(BD$2,'TIS Site Config'!$A$3:$AQ$51,6,FALSE)="Non-Heated"),
         1,0)</f>
        <v>0</v>
      </c>
      <c r="BE19" s="159">
        <f>IF(AND(VLOOKUP(BE$2,'TIS Site Config'!$A$3:$AQ$51,8,FALSE)="No Power, No Fiber",
                   VLOOKUP(BE$2,'TIS Site Config'!$A$3:$AQ$51,6,FALSE)="Non-Heated"),
         1,0)</f>
        <v>0</v>
      </c>
      <c r="BF19" s="173">
        <f>IF(AND(VLOOKUP(BF$2,'TIS Site Config'!$A$3:$AQ$51,8,FALSE)="No Power, No Fiber",
                   VLOOKUP(BF$2,'TIS Site Config'!$A$3:$AQ$51,6,FALSE)="Non-Heated"),
         1,0)</f>
        <v>0</v>
      </c>
      <c r="BG19" s="175">
        <f>IF(AND(VLOOKUP(BG$2,'TIS Site Config'!$A$3:$AQ$51,8,FALSE)="No Power, No Fiber",
                   VLOOKUP(BG$2,'TIS Site Config'!$A$3:$AQ$51,6,FALSE)="Non-Heated"),
         1,0)</f>
        <v>1</v>
      </c>
      <c r="BH19" s="175">
        <f>IF(AND(VLOOKUP(BH$2,'TIS Site Config'!$A$3:$AQ$51,8,FALSE)="No Power, No Fiber",
                   VLOOKUP(BH$2,'TIS Site Config'!$A$3:$AQ$51,6,FALSE)="Non-Heated"),
         1,0)</f>
        <v>0</v>
      </c>
      <c r="BK19" s="44">
        <v>4</v>
      </c>
      <c r="BL19" s="950" t="b">
        <f t="shared" si="0"/>
        <v>0</v>
      </c>
      <c r="BO19" s="950"/>
    </row>
    <row r="20" spans="1:67" s="44" customFormat="1" x14ac:dyDescent="0.25">
      <c r="A20" s="1330"/>
      <c r="B20" s="1336"/>
      <c r="C20" s="59" t="s">
        <v>558</v>
      </c>
      <c r="D20" s="74">
        <v>4</v>
      </c>
      <c r="E20" s="84" t="s">
        <v>560</v>
      </c>
      <c r="F20" s="60">
        <f t="shared" si="1"/>
        <v>3</v>
      </c>
      <c r="G20" s="38"/>
      <c r="H20" s="465"/>
      <c r="I20" s="465"/>
      <c r="J20" s="465"/>
      <c r="K20" s="466"/>
      <c r="L20" s="496"/>
      <c r="M20" s="128">
        <f>IF(AND(VLOOKUP(M$2,'TIS Site Config'!$A$3:$AQ$51,8,FALSE)="No Power, No Fiber",
                   OR(VLOOKUP(M$2,'TIS Site Config'!$A$3:$AQ$51,6,FALSE)="Heated",
                           VLOOKUP(M$2,'TIS Site Config'!$A$3:$AQ$51,6,FALSE)="Extreme Heated")),
         1,0)</f>
        <v>0</v>
      </c>
      <c r="N20" s="173">
        <f>IF(AND(VLOOKUP(N$2,'TIS Site Config'!$A$3:$AQ$51,8,FALSE)="No Power, No Fiber",
                   OR(VLOOKUP(N$2,'TIS Site Config'!$A$3:$AQ$51,6,FALSE)="Heated",
                           VLOOKUP(N$2,'TIS Site Config'!$A$3:$AQ$51,6,FALSE)="Extreme Heated")),
         1,0)</f>
        <v>0</v>
      </c>
      <c r="O20" s="177">
        <f>IF(AND(VLOOKUP(O$2,'TIS Site Config'!$A$3:$AQ$51,8,FALSE)="No Power, No Fiber",
                   OR(VLOOKUP(O$2,'TIS Site Config'!$A$3:$AQ$51,6,FALSE)="Heated",
                           VLOOKUP(O$2,'TIS Site Config'!$A$3:$AQ$51,6,FALSE)="Extreme Heated")),
         1,0)</f>
        <v>0</v>
      </c>
      <c r="P20" s="159">
        <f>IF(AND(VLOOKUP(P$2,'TIS Site Config'!$A$3:$AQ$51,8,FALSE)="No Power, No Fiber",
                   OR(VLOOKUP(P$2,'TIS Site Config'!$A$3:$AQ$51,6,FALSE)="Heated",
                           VLOOKUP(P$2,'TIS Site Config'!$A$3:$AQ$51,6,FALSE)="Extreme Heated")),
         1,0)</f>
        <v>0</v>
      </c>
      <c r="Q20" s="173">
        <f>IF(AND(VLOOKUP(Q$2,'TIS Site Config'!$A$3:$AQ$51,8,FALSE)="No Power, No Fiber",
                   OR(VLOOKUP(Q$2,'TIS Site Config'!$A$3:$AQ$51,6,FALSE)="Heated",
                           VLOOKUP(Q$2,'TIS Site Config'!$A$3:$AQ$51,6,FALSE)="Extreme Heated")),
         1,0)</f>
        <v>0</v>
      </c>
      <c r="R20" s="128">
        <f>IF(AND(VLOOKUP(R$2,'TIS Site Config'!$A$3:$AQ$51,8,FALSE)="No Power, No Fiber",
                   OR(VLOOKUP(R$2,'TIS Site Config'!$A$3:$AQ$51,6,FALSE)="Heated",
                           VLOOKUP(R$2,'TIS Site Config'!$A$3:$AQ$51,6,FALSE)="Extreme Heated")),
         1,0)</f>
        <v>0</v>
      </c>
      <c r="S20" s="159">
        <f>IF(AND(VLOOKUP(S$2,'TIS Site Config'!$A$3:$AQ$51,8,FALSE)="No Power, No Fiber",
                   OR(VLOOKUP(S$2,'TIS Site Config'!$A$3:$AQ$51,6,FALSE)="Heated",
                           VLOOKUP(S$2,'TIS Site Config'!$A$3:$AQ$51,6,FALSE)="Extreme Heated")),
         1,0)</f>
        <v>0</v>
      </c>
      <c r="T20" s="173">
        <f>IF(AND(VLOOKUP(T$2,'TIS Site Config'!$A$3:$AQ$51,8,FALSE)="No Power, No Fiber",
                   OR(VLOOKUP(T$2,'TIS Site Config'!$A$3:$AQ$51,6,FALSE)="Heated",
                           VLOOKUP(T$2,'TIS Site Config'!$A$3:$AQ$51,6,FALSE)="Extreme Heated")),
         1,0)</f>
        <v>0</v>
      </c>
      <c r="U20" s="128">
        <f>IF(AND(VLOOKUP(U$2,'TIS Site Config'!$A$3:$AQ$51,8,FALSE)="No Power, No Fiber",
                   OR(VLOOKUP(U$2,'TIS Site Config'!$A$3:$AQ$51,6,FALSE)="Heated",
                           VLOOKUP(U$2,'TIS Site Config'!$A$3:$AQ$51,6,FALSE)="Extreme Heated")),
         1,0)</f>
        <v>0</v>
      </c>
      <c r="V20" s="173">
        <f>IF(AND(VLOOKUP(V$2,'TIS Site Config'!$A$3:$AQ$51,8,FALSE)="No Power, No Fiber",
                   OR(VLOOKUP(V$2,'TIS Site Config'!$A$3:$AQ$51,6,FALSE)="Heated",
                           VLOOKUP(V$2,'TIS Site Config'!$A$3:$AQ$51,6,FALSE)="Extreme Heated")),
         1,0)</f>
        <v>0</v>
      </c>
      <c r="W20" s="176">
        <f>IF(AND(VLOOKUP(W$2,'TIS Site Config'!$A$3:$AQ$51,8,FALSE)="No Power, No Fiber",
                   OR(VLOOKUP(W$2,'TIS Site Config'!$A$3:$AQ$51,6,FALSE)="Heated",
                           VLOOKUP(W$2,'TIS Site Config'!$A$3:$AQ$51,6,FALSE)="Extreme Heated")),
         1,0)</f>
        <v>0</v>
      </c>
      <c r="X20" s="159">
        <f>IF(AND(VLOOKUP(X$2,'TIS Site Config'!$A$3:$AQ$51,8,FALSE)="No Power, No Fiber",
                   OR(VLOOKUP(X$2,'TIS Site Config'!$A$3:$AQ$51,6,FALSE)="Heated",
                           VLOOKUP(X$2,'TIS Site Config'!$A$3:$AQ$51,6,FALSE)="Extreme Heated")),
         1,0)</f>
        <v>0</v>
      </c>
      <c r="Y20" s="173">
        <f>IF(AND(VLOOKUP(Y$2,'TIS Site Config'!$A$3:$AQ$51,8,FALSE)="No Power, No Fiber",
                   OR(VLOOKUP(Y$2,'TIS Site Config'!$A$3:$AQ$51,6,FALSE)="Heated",
                           VLOOKUP(Y$2,'TIS Site Config'!$A$3:$AQ$51,6,FALSE)="Extreme Heated")),
         1,0)</f>
        <v>0</v>
      </c>
      <c r="Z20" s="128">
        <f>IF(AND(VLOOKUP(Z$2,'TIS Site Config'!$A$3:$AQ$51,8,FALSE)="No Power, No Fiber",
                   OR(VLOOKUP(Z$2,'TIS Site Config'!$A$3:$AQ$51,6,FALSE)="Heated",
                           VLOOKUP(Z$2,'TIS Site Config'!$A$3:$AQ$51,6,FALSE)="Extreme Heated")),
         1,0)</f>
        <v>0</v>
      </c>
      <c r="AA20" s="159">
        <f>IF(AND(VLOOKUP(AA$2,'TIS Site Config'!$A$3:$AQ$51,8,FALSE)="No Power, No Fiber",
                   OR(VLOOKUP(AA$2,'TIS Site Config'!$A$3:$AQ$51,6,FALSE)="Heated",
                           VLOOKUP(AA$2,'TIS Site Config'!$A$3:$AQ$51,6,FALSE)="Extreme Heated")),
         1,0)</f>
        <v>0</v>
      </c>
      <c r="AB20" s="173">
        <f>IF(AND(VLOOKUP(AB$2,'TIS Site Config'!$A$3:$AQ$51,8,FALSE)="No Power, No Fiber",
                   OR(VLOOKUP(AB$2,'TIS Site Config'!$A$3:$AQ$51,6,FALSE)="Heated",
                           VLOOKUP(AB$2,'TIS Site Config'!$A$3:$AQ$51,6,FALSE)="Extreme Heated")),
         1,0)</f>
        <v>0</v>
      </c>
      <c r="AC20" s="159">
        <f>IF(AND(VLOOKUP(AC$2,'TIS Site Config'!$A$3:$AQ$51,8,FALSE)="No Power, No Fiber",
                   OR(VLOOKUP(AC$2,'TIS Site Config'!$A$3:$AQ$51,6,FALSE)="Heated",
                           VLOOKUP(AC$2,'TIS Site Config'!$A$3:$AQ$51,6,FALSE)="Extreme Heated")),
         1,0)</f>
        <v>1</v>
      </c>
      <c r="AD20" s="174">
        <f>IF(AND(VLOOKUP(AD$2,'TIS Site Config'!$A$3:$AQ$51,8,FALSE)="No Power, No Fiber",
                   OR(VLOOKUP(AD$2,'TIS Site Config'!$A$3:$AQ$51,6,FALSE)="Heated",
                           VLOOKUP(AD$2,'TIS Site Config'!$A$3:$AQ$51,6,FALSE)="Extreme Heated")),
         1,0)</f>
        <v>0</v>
      </c>
      <c r="AE20" s="174">
        <f>IF(AND(VLOOKUP(AE$2,'TIS Site Config'!$A$3:$AQ$51,8,FALSE)="No Power, No Fiber",
                   OR(VLOOKUP(AE$2,'TIS Site Config'!$A$3:$AQ$51,6,FALSE)="Heated",
                           VLOOKUP(AE$2,'TIS Site Config'!$A$3:$AQ$51,6,FALSE)="Extreme Heated")),
         1,0)</f>
        <v>0</v>
      </c>
      <c r="AF20" s="996">
        <f>IF(AND(VLOOKUP(AF$2,'TIS Site Config'!$A$3:$AQ$51,8,FALSE)="No Power, No Fiber",
                   OR(VLOOKUP(AF$2,'TIS Site Config'!$A$3:$AQ$51,6,FALSE)="Heated",
                           VLOOKUP(AF$2,'TIS Site Config'!$A$3:$AQ$51,6,FALSE)="Extreme Heated")),
         1,0)</f>
        <v>0</v>
      </c>
      <c r="AG20" s="159">
        <f>IF(AND(VLOOKUP(AG$2,'TIS Site Config'!$A$3:$AQ$51,8,FALSE)="No Power, No Fiber",
                   OR(VLOOKUP(AG$2,'TIS Site Config'!$A$3:$AQ$51,6,FALSE)="Heated",
                           VLOOKUP(AG$2,'TIS Site Config'!$A$3:$AQ$51,6,FALSE)="Extreme Heated")),
         1,0)</f>
        <v>0</v>
      </c>
      <c r="AH20" s="173">
        <f>IF(AND(VLOOKUP(AH$2,'TIS Site Config'!$A$3:$AQ$51,8,FALSE)="No Power, No Fiber",
                   OR(VLOOKUP(AH$2,'TIS Site Config'!$A$3:$AQ$51,6,FALSE)="Heated",
                           VLOOKUP(AH$2,'TIS Site Config'!$A$3:$AQ$51,6,FALSE)="Extreme Heated")),
         1,0)</f>
        <v>0</v>
      </c>
      <c r="AI20" s="128">
        <f>IF(AND(VLOOKUP(AI$2,'TIS Site Config'!$A$3:$AQ$51,8,FALSE)="No Power, No Fiber",
                   OR(VLOOKUP(AI$2,'TIS Site Config'!$A$3:$AQ$51,6,FALSE)="Heated",
                           VLOOKUP(AI$2,'TIS Site Config'!$A$3:$AQ$51,6,FALSE)="Extreme Heated")),
         1,0)</f>
        <v>0</v>
      </c>
      <c r="AJ20" s="159">
        <f>IF(AND(VLOOKUP(AJ$2,'TIS Site Config'!$A$3:$AQ$51,8,FALSE)="No Power, No Fiber",
                   OR(VLOOKUP(AJ$2,'TIS Site Config'!$A$3:$AQ$51,6,FALSE)="Heated",
                           VLOOKUP(AJ$2,'TIS Site Config'!$A$3:$AQ$51,6,FALSE)="Extreme Heated")),
         1,0)</f>
        <v>0</v>
      </c>
      <c r="AK20" s="173">
        <f>IF(AND(VLOOKUP(AK$2,'TIS Site Config'!$A$3:$AQ$51,8,FALSE)="No Power, No Fiber",
                   OR(VLOOKUP(AK$2,'TIS Site Config'!$A$3:$AQ$51,6,FALSE)="Heated",
                           VLOOKUP(AK$2,'TIS Site Config'!$A$3:$AQ$51,6,FALSE)="Extreme Heated")),
         1,0)</f>
        <v>0</v>
      </c>
      <c r="AL20" s="128">
        <f>IF(AND(VLOOKUP(AL$2,'TIS Site Config'!$A$3:$AQ$51,8,FALSE)="No Power, No Fiber",
                   OR(VLOOKUP(AL$2,'TIS Site Config'!$A$3:$AQ$51,6,FALSE)="Heated",
                           VLOOKUP(AL$2,'TIS Site Config'!$A$3:$AQ$51,6,FALSE)="Extreme Heated")),
         1,0)</f>
        <v>0</v>
      </c>
      <c r="AM20" s="159">
        <f>IF(AND(VLOOKUP(AM$2,'TIS Site Config'!$A$3:$AQ$51,8,FALSE)="No Power, No Fiber",
                   OR(VLOOKUP(AM$2,'TIS Site Config'!$A$3:$AQ$51,6,FALSE)="Heated",
                           VLOOKUP(AM$2,'TIS Site Config'!$A$3:$AQ$51,6,FALSE)="Extreme Heated")),
         1,0)</f>
        <v>0</v>
      </c>
      <c r="AN20" s="173">
        <f>IF(AND(VLOOKUP(AN$2,'TIS Site Config'!$A$3:$AQ$51,8,FALSE)="No Power, No Fiber",
                   OR(VLOOKUP(AN$2,'TIS Site Config'!$A$3:$AQ$51,6,FALSE)="Heated",
                           VLOOKUP(AN$2,'TIS Site Config'!$A$3:$AQ$51,6,FALSE)="Extreme Heated")),
         1,0)</f>
        <v>0</v>
      </c>
      <c r="AO20" s="128">
        <f>IF(AND(VLOOKUP(AO$2,'TIS Site Config'!$A$3:$AQ$51,8,FALSE)="No Power, No Fiber",
                   OR(VLOOKUP(AO$2,'TIS Site Config'!$A$3:$AQ$51,6,FALSE)="Heated",
                           VLOOKUP(AO$2,'TIS Site Config'!$A$3:$AQ$51,6,FALSE)="Extreme Heated")),
         1,0)</f>
        <v>1</v>
      </c>
      <c r="AP20" s="159">
        <f>IF(AND(VLOOKUP(AP$2,'TIS Site Config'!$A$3:$AQ$51,8,FALSE)="No Power, No Fiber",
                   OR(VLOOKUP(AP$2,'TIS Site Config'!$A$3:$AQ$51,6,FALSE)="Heated",
                           VLOOKUP(AP$2,'TIS Site Config'!$A$3:$AQ$51,6,FALSE)="Extreme Heated")),
         1,0)</f>
        <v>0</v>
      </c>
      <c r="AQ20" s="128">
        <f>IF(AND(VLOOKUP(AQ$2,'TIS Site Config'!$A$3:$AQ$51,8,FALSE)="No Power, No Fiber",
                   OR(VLOOKUP(AQ$2,'TIS Site Config'!$A$3:$AQ$51,6,FALSE)="Heated",
                           VLOOKUP(AQ$2,'TIS Site Config'!$A$3:$AQ$51,6,FALSE)="Extreme Heated")),
         1,0)</f>
        <v>0</v>
      </c>
      <c r="AR20" s="128">
        <f>IF(AND(VLOOKUP(AR$2,'TIS Site Config'!$A$3:$AQ$51,8,FALSE)="No Power, No Fiber",
                   OR(VLOOKUP(AR$2,'TIS Site Config'!$A$3:$AQ$51,6,FALSE)="Heated",
                           VLOOKUP(AR$2,'TIS Site Config'!$A$3:$AQ$51,6,FALSE)="Extreme Heated")),
         1,0)</f>
        <v>0</v>
      </c>
      <c r="AS20" s="159">
        <f>IF(AND(VLOOKUP(AS$2,'TIS Site Config'!$A$3:$AQ$51,8,FALSE)="No Power, No Fiber",
                   OR(VLOOKUP(AS$2,'TIS Site Config'!$A$3:$AQ$51,6,FALSE)="Heated",
                           VLOOKUP(AS$2,'TIS Site Config'!$A$3:$AQ$51,6,FALSE)="Extreme Heated")),
         1,0)</f>
        <v>0</v>
      </c>
      <c r="AT20" s="128">
        <f>IF(AND(VLOOKUP(AT$2,'TIS Site Config'!$A$3:$AQ$51,8,FALSE)="No Power, No Fiber",
                   OR(VLOOKUP(AT$2,'TIS Site Config'!$A$3:$AQ$51,6,FALSE)="Heated",
                           VLOOKUP(AT$2,'TIS Site Config'!$A$3:$AQ$51,6,FALSE)="Extreme Heated")),
         1,0)</f>
        <v>0</v>
      </c>
      <c r="AU20" s="159">
        <f>IF(AND(VLOOKUP(AU$2,'TIS Site Config'!$A$3:$AQ$51,8,FALSE)="No Power, No Fiber",
                   OR(VLOOKUP(AU$2,'TIS Site Config'!$A$3:$AQ$51,6,FALSE)="Heated",
                           VLOOKUP(AU$2,'TIS Site Config'!$A$3:$AQ$51,6,FALSE)="Extreme Heated")),
         1,0)</f>
        <v>0</v>
      </c>
      <c r="AV20" s="128">
        <f>IF(AND(VLOOKUP(AV$2,'TIS Site Config'!$A$3:$AQ$51,8,FALSE)="No Power, No Fiber",
                   OR(VLOOKUP(AV$2,'TIS Site Config'!$A$3:$AQ$51,6,FALSE)="Heated",
                           VLOOKUP(AV$2,'TIS Site Config'!$A$3:$AQ$51,6,FALSE)="Extreme Heated")),
         1,0)</f>
        <v>0</v>
      </c>
      <c r="AW20" s="128">
        <f>IF(AND(VLOOKUP(AW$2,'TIS Site Config'!$A$3:$AQ$51,8,FALSE)="No Power, No Fiber",
                   OR(VLOOKUP(AW$2,'TIS Site Config'!$A$3:$AQ$51,6,FALSE)="Heated",
                           VLOOKUP(AW$2,'TIS Site Config'!$A$3:$AQ$51,6,FALSE)="Extreme Heated")),
         1,0)</f>
        <v>1</v>
      </c>
      <c r="AX20" s="173">
        <f>IF(AND(VLOOKUP(AX$2,'TIS Site Config'!$A$3:$AQ$51,8,FALSE)="No Power, No Fiber",
                   OR(VLOOKUP(AX$2,'TIS Site Config'!$A$3:$AQ$51,6,FALSE)="Heated",
                           VLOOKUP(AX$2,'TIS Site Config'!$A$3:$AQ$51,6,FALSE)="Extreme Heated")),
         1,0)</f>
        <v>0</v>
      </c>
      <c r="AY20" s="128">
        <f>IF(AND(VLOOKUP(AY$2,'TIS Site Config'!$A$3:$AQ$51,8,FALSE)="No Power, No Fiber",
                   OR(VLOOKUP(AY$2,'TIS Site Config'!$A$3:$AQ$51,6,FALSE)="Heated",
                           VLOOKUP(AY$2,'TIS Site Config'!$A$3:$AQ$51,6,FALSE)="Extreme Heated")),
         1,0)</f>
        <v>0</v>
      </c>
      <c r="AZ20" s="159">
        <f>IF(AND(VLOOKUP(AZ$2,'TIS Site Config'!$A$3:$AQ$51,8,FALSE)="No Power, No Fiber",
                   OR(VLOOKUP(AZ$2,'TIS Site Config'!$A$3:$AQ$51,6,FALSE)="Heated",
                           VLOOKUP(AZ$2,'TIS Site Config'!$A$3:$AQ$51,6,FALSE)="Extreme Heated")),
         1,0)</f>
        <v>0</v>
      </c>
      <c r="BA20" s="174">
        <f>IF(AND(VLOOKUP(BA$2,'TIS Site Config'!$A$3:$AQ$51,8,FALSE)="No Power, No Fiber",
                   OR(VLOOKUP(BA$2,'TIS Site Config'!$A$3:$AQ$51,6,FALSE)="Heated",
                           VLOOKUP(BA$2,'TIS Site Config'!$A$3:$AQ$51,6,FALSE)="Extreme Heated")),
         1,0)</f>
        <v>0</v>
      </c>
      <c r="BB20" s="128">
        <f>IF(AND(VLOOKUP(BB$2,'TIS Site Config'!$A$3:$AQ$51,8,FALSE)="No Power, No Fiber",
                   OR(VLOOKUP(BB$2,'TIS Site Config'!$A$3:$AQ$51,6,FALSE)="Heated",
                           VLOOKUP(BB$2,'TIS Site Config'!$A$3:$AQ$51,6,FALSE)="Extreme Heated")),
         1,0)</f>
        <v>0</v>
      </c>
      <c r="BC20" s="173">
        <f>IF(AND(VLOOKUP(BC$2,'TIS Site Config'!$A$3:$AQ$51,8,FALSE)="No Power, No Fiber",
                   OR(VLOOKUP(BC$2,'TIS Site Config'!$A$3:$AQ$51,6,FALSE)="Heated",
                           VLOOKUP(BC$2,'TIS Site Config'!$A$3:$AQ$51,6,FALSE)="Extreme Heated")),
         1,0)</f>
        <v>0</v>
      </c>
      <c r="BD20" s="128">
        <f>IF(AND(VLOOKUP(BD$2,'TIS Site Config'!$A$3:$AQ$51,8,FALSE)="No Power, No Fiber",
                   OR(VLOOKUP(BD$2,'TIS Site Config'!$A$3:$AQ$51,6,FALSE)="Heated",
                           VLOOKUP(BD$2,'TIS Site Config'!$A$3:$AQ$51,6,FALSE)="Extreme Heated")),
         1,0)</f>
        <v>0</v>
      </c>
      <c r="BE20" s="159">
        <f>IF(AND(VLOOKUP(BE$2,'TIS Site Config'!$A$3:$AQ$51,8,FALSE)="No Power, No Fiber",
                   OR(VLOOKUP(BE$2,'TIS Site Config'!$A$3:$AQ$51,6,FALSE)="Heated",
                           VLOOKUP(BE$2,'TIS Site Config'!$A$3:$AQ$51,6,FALSE)="Extreme Heated")),
         1,0)</f>
        <v>0</v>
      </c>
      <c r="BF20" s="173">
        <f>IF(AND(VLOOKUP(BF$2,'TIS Site Config'!$A$3:$AQ$51,8,FALSE)="No Power, No Fiber",
                   OR(VLOOKUP(BF$2,'TIS Site Config'!$A$3:$AQ$51,6,FALSE)="Heated",
                           VLOOKUP(BF$2,'TIS Site Config'!$A$3:$AQ$51,6,FALSE)="Extreme Heated")),
         1,0)</f>
        <v>0</v>
      </c>
      <c r="BG20" s="175">
        <f>IF(AND(VLOOKUP(BG$2,'TIS Site Config'!$A$3:$AQ$51,8,FALSE)="No Power, No Fiber",
                   OR(VLOOKUP(BG$2,'TIS Site Config'!$A$3:$AQ$51,6,FALSE)="Heated",
                           VLOOKUP(BG$2,'TIS Site Config'!$A$3:$AQ$51,6,FALSE)="Extreme Heated")),
         1,0)</f>
        <v>0</v>
      </c>
      <c r="BH20" s="175">
        <f>IF(AND(VLOOKUP(BH$2,'TIS Site Config'!$A$3:$AQ$51,8,FALSE)="No Power, No Fiber",
                   OR(VLOOKUP(BH$2,'TIS Site Config'!$A$3:$AQ$51,6,FALSE)="Heated",
                           VLOOKUP(BH$2,'TIS Site Config'!$A$3:$AQ$51,6,FALSE)="Extreme Heated")),
         1,0)</f>
        <v>0</v>
      </c>
      <c r="BK20" s="44">
        <v>7</v>
      </c>
      <c r="BL20" s="950" t="b">
        <f t="shared" si="0"/>
        <v>0</v>
      </c>
      <c r="BO20" s="950"/>
    </row>
    <row r="21" spans="1:67" s="950" customFormat="1" x14ac:dyDescent="0.25">
      <c r="A21" s="1330"/>
      <c r="B21" s="1336"/>
      <c r="C21" s="59" t="s">
        <v>1110</v>
      </c>
      <c r="D21" s="74">
        <v>4</v>
      </c>
      <c r="E21" s="84" t="s">
        <v>1108</v>
      </c>
      <c r="F21" s="60">
        <f t="shared" si="1"/>
        <v>2</v>
      </c>
      <c r="G21" s="38"/>
      <c r="H21" s="465"/>
      <c r="I21" s="465"/>
      <c r="J21" s="465"/>
      <c r="K21" s="466"/>
      <c r="L21" s="496"/>
      <c r="M21" s="128">
        <f>IF(AND(VLOOKUP(M$2,'TIS Site Config'!$A$3:$AQ$51,8,FALSE)="No Power, Yes Fiber",
                   VLOOKUP(M$2,'TIS Site Config'!$A$3:$AQ$51,6,FALSE)="Non-Heated"),
         1,0)</f>
        <v>0</v>
      </c>
      <c r="N21" s="173">
        <f>IF(AND(VLOOKUP(N$2,'TIS Site Config'!$A$3:$AQ$51,8,FALSE)="No Power, Yes Fiber",
                   VLOOKUP(N$2,'TIS Site Config'!$A$3:$AQ$51,6,FALSE)="Non-Heated"),
         1,0)</f>
        <v>0</v>
      </c>
      <c r="O21" s="177">
        <f>IF(AND(VLOOKUP(O$2,'TIS Site Config'!$A$3:$AQ$51,8,FALSE)="No Power, Yes Fiber",
                   VLOOKUP(O$2,'TIS Site Config'!$A$3:$AQ$51,6,FALSE)="Non-Heated"),
         1,0)</f>
        <v>0</v>
      </c>
      <c r="P21" s="159">
        <f>IF(AND(VLOOKUP(P$2,'TIS Site Config'!$A$3:$AQ$51,8,FALSE)="No Power, Yes Fiber",
                   VLOOKUP(P$2,'TIS Site Config'!$A$3:$AQ$51,6,FALSE)="Non-Heated"),
         1,0)</f>
        <v>0</v>
      </c>
      <c r="Q21" s="173">
        <f>IF(AND(VLOOKUP(Q$2,'TIS Site Config'!$A$3:$AQ$51,8,FALSE)="No Power, Yes Fiber",
                   VLOOKUP(Q$2,'TIS Site Config'!$A$3:$AQ$51,6,FALSE)="Non-Heated"),
         1,0)</f>
        <v>0</v>
      </c>
      <c r="R21" s="128">
        <f>IF(AND(VLOOKUP(R$2,'TIS Site Config'!$A$3:$AQ$51,8,FALSE)="No Power, Yes Fiber",
                   VLOOKUP(R$2,'TIS Site Config'!$A$3:$AQ$51,6,FALSE)="Non-Heated"),
         1,0)</f>
        <v>1</v>
      </c>
      <c r="S21" s="159">
        <f>IF(AND(VLOOKUP(S$2,'TIS Site Config'!$A$3:$AQ$51,8,FALSE)="No Power, Yes Fiber",
                   VLOOKUP(S$2,'TIS Site Config'!$A$3:$AQ$51,6,FALSE)="Non-Heated"),
         1,0)</f>
        <v>0</v>
      </c>
      <c r="T21" s="173">
        <f>IF(AND(VLOOKUP(T$2,'TIS Site Config'!$A$3:$AQ$51,8,FALSE)="No Power, Yes Fiber",
                   VLOOKUP(T$2,'TIS Site Config'!$A$3:$AQ$51,6,FALSE)="Non-Heated"),
         1,0)</f>
        <v>0</v>
      </c>
      <c r="U21" s="128">
        <f>IF(AND(VLOOKUP(U$2,'TIS Site Config'!$A$3:$AQ$51,8,FALSE)="No Power, Yes Fiber",
                   VLOOKUP(U$2,'TIS Site Config'!$A$3:$AQ$51,6,FALSE)="Non-Heated"),
         1,0)</f>
        <v>1</v>
      </c>
      <c r="V21" s="173">
        <f>IF(AND(VLOOKUP(V$2,'TIS Site Config'!$A$3:$AQ$51,8,FALSE)="No Power, Yes Fiber",
                   VLOOKUP(V$2,'TIS Site Config'!$A$3:$AQ$51,6,FALSE)="Non-Heated"),
         1,0)</f>
        <v>0</v>
      </c>
      <c r="W21" s="176">
        <f>IF(AND(VLOOKUP(W$2,'TIS Site Config'!$A$3:$AQ$51,8,FALSE)="No Power, Yes Fiber",
                   VLOOKUP(W$2,'TIS Site Config'!$A$3:$AQ$51,6,FALSE)="Non-Heated"),
         1,0)</f>
        <v>0</v>
      </c>
      <c r="X21" s="159">
        <f>IF(AND(VLOOKUP(X$2,'TIS Site Config'!$A$3:$AQ$51,8,FALSE)="No Power, Yes Fiber",
                   VLOOKUP(X$2,'TIS Site Config'!$A$3:$AQ$51,6,FALSE)="Non-Heated"),
         1,0)</f>
        <v>0</v>
      </c>
      <c r="Y21" s="173">
        <f>IF(AND(VLOOKUP(Y$2,'TIS Site Config'!$A$3:$AQ$51,8,FALSE)="No Power, Yes Fiber",
                   VLOOKUP(Y$2,'TIS Site Config'!$A$3:$AQ$51,6,FALSE)="Non-Heated"),
         1,0)</f>
        <v>0</v>
      </c>
      <c r="Z21" s="128">
        <f>IF(AND(VLOOKUP(Z$2,'TIS Site Config'!$A$3:$AQ$51,8,FALSE)="No Power, Yes Fiber",
                   VLOOKUP(Z$2,'TIS Site Config'!$A$3:$AQ$51,6,FALSE)="Non-Heated"),
         1,0)</f>
        <v>0</v>
      </c>
      <c r="AA21" s="159">
        <f>IF(AND(VLOOKUP(AA$2,'TIS Site Config'!$A$3:$AQ$51,8,FALSE)="No Power, Yes Fiber",
                   VLOOKUP(AA$2,'TIS Site Config'!$A$3:$AQ$51,6,FALSE)="Non-Heated"),
         1,0)</f>
        <v>0</v>
      </c>
      <c r="AB21" s="173">
        <f>IF(AND(VLOOKUP(AB$2,'TIS Site Config'!$A$3:$AQ$51,8,FALSE)="No Power, Yes Fiber",
                   VLOOKUP(AB$2,'TIS Site Config'!$A$3:$AQ$51,6,FALSE)="Non-Heated"),
         1,0)</f>
        <v>0</v>
      </c>
      <c r="AC21" s="159">
        <f>IF(AND(VLOOKUP(AC$2,'TIS Site Config'!$A$3:$AQ$51,8,FALSE)="No Power, Yes Fiber",
                   VLOOKUP(AC$2,'TIS Site Config'!$A$3:$AQ$51,6,FALSE)="Non-Heated"),
         1,0)</f>
        <v>0</v>
      </c>
      <c r="AD21" s="174">
        <f>IF(AND(VLOOKUP(AD$2,'TIS Site Config'!$A$3:$AQ$51,8,FALSE)="No Power, Yes Fiber",
                   VLOOKUP(AD$2,'TIS Site Config'!$A$3:$AQ$51,6,FALSE)="Non-Heated"),
         1,0)</f>
        <v>0</v>
      </c>
      <c r="AE21" s="174">
        <f>IF(AND(VLOOKUP(AE$2,'TIS Site Config'!$A$3:$AQ$51,8,FALSE)="No Power, Yes Fiber",
                   VLOOKUP(AE$2,'TIS Site Config'!$A$3:$AQ$51,6,FALSE)="Non-Heated"),
         1,0)</f>
        <v>0</v>
      </c>
      <c r="AF21" s="996">
        <f>IF(AND(VLOOKUP(AF$2,'TIS Site Config'!$A$3:$AQ$51,8,FALSE)="No Power, Yes Fiber",
                   VLOOKUP(AF$2,'TIS Site Config'!$A$3:$AQ$51,6,FALSE)="Non-Heated"),
         1,0)</f>
        <v>0</v>
      </c>
      <c r="AG21" s="159">
        <f>IF(AND(VLOOKUP(AG$2,'TIS Site Config'!$A$3:$AQ$51,8,FALSE)="No Power, Yes Fiber",
                   VLOOKUP(AG$2,'TIS Site Config'!$A$3:$AQ$51,6,FALSE)="Non-Heated"),
         1,0)</f>
        <v>0</v>
      </c>
      <c r="AH21" s="173">
        <f>IF(AND(VLOOKUP(AH$2,'TIS Site Config'!$A$3:$AQ$51,8,FALSE)="No Power, Yes Fiber",
                   VLOOKUP(AH$2,'TIS Site Config'!$A$3:$AQ$51,6,FALSE)="Non-Heated"),
         1,0)</f>
        <v>0</v>
      </c>
      <c r="AI21" s="128">
        <f>IF(AND(VLOOKUP(AI$2,'TIS Site Config'!$A$3:$AQ$51,8,FALSE)="No Power, Yes Fiber",
                   VLOOKUP(AI$2,'TIS Site Config'!$A$3:$AQ$51,6,FALSE)="Non-Heated"),
         1,0)</f>
        <v>0</v>
      </c>
      <c r="AJ21" s="159">
        <f>IF(AND(VLOOKUP(AJ$2,'TIS Site Config'!$A$3:$AQ$51,8,FALSE)="No Power, Yes Fiber",
                   VLOOKUP(AJ$2,'TIS Site Config'!$A$3:$AQ$51,6,FALSE)="Non-Heated"),
         1,0)</f>
        <v>0</v>
      </c>
      <c r="AK21" s="173">
        <f>IF(AND(VLOOKUP(AK$2,'TIS Site Config'!$A$3:$AQ$51,8,FALSE)="No Power, Yes Fiber",
                   VLOOKUP(AK$2,'TIS Site Config'!$A$3:$AQ$51,6,FALSE)="Non-Heated"),
         1,0)</f>
        <v>0</v>
      </c>
      <c r="AL21" s="128">
        <f>IF(AND(VLOOKUP(AL$2,'TIS Site Config'!$A$3:$AQ$51,8,FALSE)="No Power, Yes Fiber",
                   VLOOKUP(AL$2,'TIS Site Config'!$A$3:$AQ$51,6,FALSE)="Non-Heated"),
         1,0)</f>
        <v>0</v>
      </c>
      <c r="AM21" s="159">
        <f>IF(AND(VLOOKUP(AM$2,'TIS Site Config'!$A$3:$AQ$51,8,FALSE)="No Power, Yes Fiber",
                   VLOOKUP(AM$2,'TIS Site Config'!$A$3:$AQ$51,6,FALSE)="Non-Heated"),
         1,0)</f>
        <v>0</v>
      </c>
      <c r="AN21" s="173">
        <f>IF(AND(VLOOKUP(AN$2,'TIS Site Config'!$A$3:$AQ$51,8,FALSE)="No Power, Yes Fiber",
                   VLOOKUP(AN$2,'TIS Site Config'!$A$3:$AQ$51,6,FALSE)="Non-Heated"),
         1,0)</f>
        <v>0</v>
      </c>
      <c r="AO21" s="128">
        <f>IF(AND(VLOOKUP(AO$2,'TIS Site Config'!$A$3:$AQ$51,8,FALSE)="No Power, Yes Fiber",
                   VLOOKUP(AO$2,'TIS Site Config'!$A$3:$AQ$51,6,FALSE)="Non-Heated"),
         1,0)</f>
        <v>0</v>
      </c>
      <c r="AP21" s="159">
        <f>IF(AND(VLOOKUP(AP$2,'TIS Site Config'!$A$3:$AQ$51,8,FALSE)="No Power, Yes Fiber",
                   VLOOKUP(AP$2,'TIS Site Config'!$A$3:$AQ$51,6,FALSE)="Non-Heated"),
         1,0)</f>
        <v>0</v>
      </c>
      <c r="AQ21" s="128">
        <f>IF(AND(VLOOKUP(AQ$2,'TIS Site Config'!$A$3:$AQ$51,8,FALSE)="No Power, Yes Fiber",
                   VLOOKUP(AQ$2,'TIS Site Config'!$A$3:$AQ$51,6,FALSE)="Non-Heated"),
         1,0)</f>
        <v>0</v>
      </c>
      <c r="AR21" s="128">
        <f>IF(AND(VLOOKUP(AR$2,'TIS Site Config'!$A$3:$AQ$51,8,FALSE)="No Power, Yes Fiber",
                   VLOOKUP(AR$2,'TIS Site Config'!$A$3:$AQ$51,6,FALSE)="Non-Heated"),
         1,0)</f>
        <v>0</v>
      </c>
      <c r="AS21" s="159">
        <f>IF(AND(VLOOKUP(AS$2,'TIS Site Config'!$A$3:$AQ$51,8,FALSE)="No Power, Yes Fiber",
                   VLOOKUP(AS$2,'TIS Site Config'!$A$3:$AQ$51,6,FALSE)="Non-Heated"),
         1,0)</f>
        <v>0</v>
      </c>
      <c r="AT21" s="128">
        <f>IF(AND(VLOOKUP(AT$2,'TIS Site Config'!$A$3:$AQ$51,8,FALSE)="No Power, Yes Fiber",
                   VLOOKUP(AT$2,'TIS Site Config'!$A$3:$AQ$51,6,FALSE)="Non-Heated"),
         1,0)</f>
        <v>0</v>
      </c>
      <c r="AU21" s="159">
        <f>IF(AND(VLOOKUP(AU$2,'TIS Site Config'!$A$3:$AQ$51,8,FALSE)="No Power, Yes Fiber",
                   VLOOKUP(AU$2,'TIS Site Config'!$A$3:$AQ$51,6,FALSE)="Non-Heated"),
         1,0)</f>
        <v>0</v>
      </c>
      <c r="AV21" s="128">
        <f>IF(AND(VLOOKUP(AV$2,'TIS Site Config'!$A$3:$AQ$51,8,FALSE)="No Power, Yes Fiber",
                   VLOOKUP(AV$2,'TIS Site Config'!$A$3:$AQ$51,6,FALSE)="Non-Heated"),
         1,0)</f>
        <v>0</v>
      </c>
      <c r="AW21" s="128">
        <f>IF(AND(VLOOKUP(AW$2,'TIS Site Config'!$A$3:$AQ$51,8,FALSE)="No Power, Yes Fiber",
                   VLOOKUP(AW$2,'TIS Site Config'!$A$3:$AQ$51,6,FALSE)="Non-Heated"),
         1,0)</f>
        <v>0</v>
      </c>
      <c r="AX21" s="173">
        <f>IF(AND(VLOOKUP(AX$2,'TIS Site Config'!$A$3:$AQ$51,8,FALSE)="No Power, Yes Fiber",
                   VLOOKUP(AX$2,'TIS Site Config'!$A$3:$AQ$51,6,FALSE)="Non-Heated"),
         1,0)</f>
        <v>0</v>
      </c>
      <c r="AY21" s="128">
        <f>IF(AND(VLOOKUP(AY$2,'TIS Site Config'!$A$3:$AQ$51,8,FALSE)="No Power, Yes Fiber",
                   VLOOKUP(AY$2,'TIS Site Config'!$A$3:$AQ$51,6,FALSE)="Non-Heated"),
         1,0)</f>
        <v>0</v>
      </c>
      <c r="AZ21" s="159">
        <f>IF(AND(VLOOKUP(AZ$2,'TIS Site Config'!$A$3:$AQ$51,8,FALSE)="No Power, Yes Fiber",
                   VLOOKUP(AZ$2,'TIS Site Config'!$A$3:$AQ$51,6,FALSE)="Non-Heated"),
         1,0)</f>
        <v>0</v>
      </c>
      <c r="BA21" s="174">
        <f>IF(AND(VLOOKUP(BA$2,'TIS Site Config'!$A$3:$AQ$51,8,FALSE)="No Power, Yes Fiber",
                   VLOOKUP(BA$2,'TIS Site Config'!$A$3:$AQ$51,6,FALSE)="Non-Heated"),
         1,0)</f>
        <v>0</v>
      </c>
      <c r="BB21" s="128">
        <f>IF(AND(VLOOKUP(BB$2,'TIS Site Config'!$A$3:$AQ$51,8,FALSE)="No Power, Yes Fiber",
                   VLOOKUP(BB$2,'TIS Site Config'!$A$3:$AQ$51,6,FALSE)="Non-Heated"),
         1,0)</f>
        <v>0</v>
      </c>
      <c r="BC21" s="173">
        <f>IF(AND(VLOOKUP(BC$2,'TIS Site Config'!$A$3:$AQ$51,8,FALSE)="No Power, Yes Fiber",
                   VLOOKUP(BC$2,'TIS Site Config'!$A$3:$AQ$51,6,FALSE)="Non-Heated"),
         1,0)</f>
        <v>0</v>
      </c>
      <c r="BD21" s="128">
        <f>IF(AND(VLOOKUP(BD$2,'TIS Site Config'!$A$3:$AQ$51,8,FALSE)="No Power, Yes Fiber",
                   VLOOKUP(BD$2,'TIS Site Config'!$A$3:$AQ$51,6,FALSE)="Non-Heated"),
         1,0)</f>
        <v>0</v>
      </c>
      <c r="BE21" s="159">
        <f>IF(AND(VLOOKUP(BE$2,'TIS Site Config'!$A$3:$AQ$51,8,FALSE)="No Power, Yes Fiber",
                   VLOOKUP(BE$2,'TIS Site Config'!$A$3:$AQ$51,6,FALSE)="Non-Heated"),
         1,0)</f>
        <v>0</v>
      </c>
      <c r="BF21" s="173">
        <f>IF(AND(VLOOKUP(BF$2,'TIS Site Config'!$A$3:$AQ$51,8,FALSE)="No Power, Yes Fiber",
                   VLOOKUP(BF$2,'TIS Site Config'!$A$3:$AQ$51,6,FALSE)="Non-Heated"),
         1,0)</f>
        <v>0</v>
      </c>
      <c r="BG21" s="175">
        <f>IF(AND(VLOOKUP(BG$2,'TIS Site Config'!$A$3:$AQ$51,8,FALSE)="No Power, Yes Fiber",
                   VLOOKUP(BG$2,'TIS Site Config'!$A$3:$AQ$51,6,FALSE)="Non-Heated"),
         1,0)</f>
        <v>0</v>
      </c>
      <c r="BH21" s="175">
        <f>IF(AND(VLOOKUP(BH$2,'TIS Site Config'!$A$3:$AQ$51,8,FALSE)="No Power, Yes Fiber",
                   VLOOKUP(BH$2,'TIS Site Config'!$A$3:$AQ$51,6,FALSE)="Non-Heated"),
         1,0)</f>
        <v>0</v>
      </c>
    </row>
    <row r="22" spans="1:67" s="950" customFormat="1" ht="15.75" thickBot="1" x14ac:dyDescent="0.3">
      <c r="A22" s="1331"/>
      <c r="B22" s="1337"/>
      <c r="C22" s="59" t="s">
        <v>1111</v>
      </c>
      <c r="D22" s="83">
        <v>4</v>
      </c>
      <c r="E22" s="84" t="s">
        <v>1109</v>
      </c>
      <c r="F22" s="247">
        <f t="shared" si="1"/>
        <v>4</v>
      </c>
      <c r="G22" s="38"/>
      <c r="H22" s="465"/>
      <c r="I22" s="465"/>
      <c r="J22" s="465"/>
      <c r="K22" s="466"/>
      <c r="L22" s="496"/>
      <c r="M22" s="128">
        <f>IF(AND(VLOOKUP(M$2,'TIS Site Config'!$A$3:$AQ$51,8,FALSE)="No Power, Yes Fiber",
                   OR(VLOOKUP(M$2,'TIS Site Config'!$A$3:$AQ$51,6,FALSE)="Heated",
                           VLOOKUP(M$2,'TIS Site Config'!$A$3:$AQ$51,6,FALSE)="Extreme Heated")),
         1,0)</f>
        <v>1</v>
      </c>
      <c r="N22" s="173">
        <f>IF(AND(VLOOKUP(N$2,'TIS Site Config'!$A$3:$AQ$51,8,FALSE)="No Power, Yes Fiber",
                   OR(VLOOKUP(N$2,'TIS Site Config'!$A$3:$AQ$51,6,FALSE)="Heated",
                           VLOOKUP(N$2,'TIS Site Config'!$A$3:$AQ$51,6,FALSE)="Extreme Heated")),
         1,0)</f>
        <v>0</v>
      </c>
      <c r="O22" s="177">
        <f>IF(AND(VLOOKUP(O$2,'TIS Site Config'!$A$3:$AQ$51,8,FALSE)="No Power, Yes Fiber",
                   OR(VLOOKUP(O$2,'TIS Site Config'!$A$3:$AQ$51,6,FALSE)="Heated",
                           VLOOKUP(O$2,'TIS Site Config'!$A$3:$AQ$51,6,FALSE)="Extreme Heated")),
         1,0)</f>
        <v>1</v>
      </c>
      <c r="P22" s="159">
        <f>IF(AND(VLOOKUP(P$2,'TIS Site Config'!$A$3:$AQ$51,8,FALSE)="No Power, Yes Fiber",
                   OR(VLOOKUP(P$2,'TIS Site Config'!$A$3:$AQ$51,6,FALSE)="Heated",
                           VLOOKUP(P$2,'TIS Site Config'!$A$3:$AQ$51,6,FALSE)="Extreme Heated")),
         1,0)</f>
        <v>0</v>
      </c>
      <c r="Q22" s="173">
        <f>IF(AND(VLOOKUP(Q$2,'TIS Site Config'!$A$3:$AQ$51,8,FALSE)="No Power, Yes Fiber",
                   OR(VLOOKUP(Q$2,'TIS Site Config'!$A$3:$AQ$51,6,FALSE)="Heated",
                           VLOOKUP(Q$2,'TIS Site Config'!$A$3:$AQ$51,6,FALSE)="Extreme Heated")),
         1,0)</f>
        <v>0</v>
      </c>
      <c r="R22" s="128">
        <f>IF(AND(VLOOKUP(R$2,'TIS Site Config'!$A$3:$AQ$51,8,FALSE)="No Power, Yes Fiber",
                   OR(VLOOKUP(R$2,'TIS Site Config'!$A$3:$AQ$51,6,FALSE)="Heated",
                           VLOOKUP(R$2,'TIS Site Config'!$A$3:$AQ$51,6,FALSE)="Extreme Heated")),
         1,0)</f>
        <v>0</v>
      </c>
      <c r="S22" s="159">
        <f>IF(AND(VLOOKUP(S$2,'TIS Site Config'!$A$3:$AQ$51,8,FALSE)="No Power, Yes Fiber",
                   OR(VLOOKUP(S$2,'TIS Site Config'!$A$3:$AQ$51,6,FALSE)="Heated",
                           VLOOKUP(S$2,'TIS Site Config'!$A$3:$AQ$51,6,FALSE)="Extreme Heated")),
         1,0)</f>
        <v>0</v>
      </c>
      <c r="T22" s="173">
        <f>IF(AND(VLOOKUP(T$2,'TIS Site Config'!$A$3:$AQ$51,8,FALSE)="No Power, Yes Fiber",
                   OR(VLOOKUP(T$2,'TIS Site Config'!$A$3:$AQ$51,6,FALSE)="Heated",
                           VLOOKUP(T$2,'TIS Site Config'!$A$3:$AQ$51,6,FALSE)="Extreme Heated")),
         1,0)</f>
        <v>0</v>
      </c>
      <c r="U22" s="128">
        <f>IF(AND(VLOOKUP(U$2,'TIS Site Config'!$A$3:$AQ$51,8,FALSE)="No Power, Yes Fiber",
                   OR(VLOOKUP(U$2,'TIS Site Config'!$A$3:$AQ$51,6,FALSE)="Heated",
                           VLOOKUP(U$2,'TIS Site Config'!$A$3:$AQ$51,6,FALSE)="Extreme Heated")),
         1,0)</f>
        <v>0</v>
      </c>
      <c r="V22" s="173">
        <f>IF(AND(VLOOKUP(V$2,'TIS Site Config'!$A$3:$AQ$51,8,FALSE)="No Power, Yes Fiber",
                   OR(VLOOKUP(V$2,'TIS Site Config'!$A$3:$AQ$51,6,FALSE)="Heated",
                           VLOOKUP(V$2,'TIS Site Config'!$A$3:$AQ$51,6,FALSE)="Extreme Heated")),
         1,0)</f>
        <v>0</v>
      </c>
      <c r="W22" s="176">
        <f>IF(AND(VLOOKUP(W$2,'TIS Site Config'!$A$3:$AQ$51,8,FALSE)="No Power, Yes Fiber",
                   OR(VLOOKUP(W$2,'TIS Site Config'!$A$3:$AQ$51,6,FALSE)="Heated",
                           VLOOKUP(W$2,'TIS Site Config'!$A$3:$AQ$51,6,FALSE)="Extreme Heated")),
         1,0)</f>
        <v>1</v>
      </c>
      <c r="X22" s="159">
        <f>IF(AND(VLOOKUP(X$2,'TIS Site Config'!$A$3:$AQ$51,8,FALSE)="No Power, Yes Fiber",
                   OR(VLOOKUP(X$2,'TIS Site Config'!$A$3:$AQ$51,6,FALSE)="Heated",
                           VLOOKUP(X$2,'TIS Site Config'!$A$3:$AQ$51,6,FALSE)="Extreme Heated")),
         1,0)</f>
        <v>0</v>
      </c>
      <c r="Y22" s="173">
        <f>IF(AND(VLOOKUP(Y$2,'TIS Site Config'!$A$3:$AQ$51,8,FALSE)="No Power, Yes Fiber",
                   OR(VLOOKUP(Y$2,'TIS Site Config'!$A$3:$AQ$51,6,FALSE)="Heated",
                           VLOOKUP(Y$2,'TIS Site Config'!$A$3:$AQ$51,6,FALSE)="Extreme Heated")),
         1,0)</f>
        <v>0</v>
      </c>
      <c r="Z22" s="128">
        <f>IF(AND(VLOOKUP(Z$2,'TIS Site Config'!$A$3:$AQ$51,8,FALSE)="No Power, Yes Fiber",
                   OR(VLOOKUP(Z$2,'TIS Site Config'!$A$3:$AQ$51,6,FALSE)="Heated",
                           VLOOKUP(Z$2,'TIS Site Config'!$A$3:$AQ$51,6,FALSE)="Extreme Heated")),
         1,0)</f>
        <v>0</v>
      </c>
      <c r="AA22" s="159">
        <f>IF(AND(VLOOKUP(AA$2,'TIS Site Config'!$A$3:$AQ$51,8,FALSE)="No Power, Yes Fiber",
                   OR(VLOOKUP(AA$2,'TIS Site Config'!$A$3:$AQ$51,6,FALSE)="Heated",
                           VLOOKUP(AA$2,'TIS Site Config'!$A$3:$AQ$51,6,FALSE)="Extreme Heated")),
         1,0)</f>
        <v>0</v>
      </c>
      <c r="AB22" s="173">
        <f>IF(AND(VLOOKUP(AB$2,'TIS Site Config'!$A$3:$AQ$51,8,FALSE)="No Power, Yes Fiber",
                   OR(VLOOKUP(AB$2,'TIS Site Config'!$A$3:$AQ$51,6,FALSE)="Heated",
                           VLOOKUP(AB$2,'TIS Site Config'!$A$3:$AQ$51,6,FALSE)="Extreme Heated")),
         1,0)</f>
        <v>0</v>
      </c>
      <c r="AC22" s="159">
        <f>IF(AND(VLOOKUP(AC$2,'TIS Site Config'!$A$3:$AQ$51,8,FALSE)="No Power, Yes Fiber",
                   OR(VLOOKUP(AC$2,'TIS Site Config'!$A$3:$AQ$51,6,FALSE)="Heated",
                           VLOOKUP(AC$2,'TIS Site Config'!$A$3:$AQ$51,6,FALSE)="Extreme Heated")),
         1,0)</f>
        <v>0</v>
      </c>
      <c r="AD22" s="174">
        <f>IF(AND(VLOOKUP(AD$2,'TIS Site Config'!$A$3:$AQ$51,8,FALSE)="No Power, Yes Fiber",
                   OR(VLOOKUP(AD$2,'TIS Site Config'!$A$3:$AQ$51,6,FALSE)="Heated",
                           VLOOKUP(AD$2,'TIS Site Config'!$A$3:$AQ$51,6,FALSE)="Extreme Heated")),
         1,0)</f>
        <v>0</v>
      </c>
      <c r="AE22" s="174">
        <f>IF(AND(VLOOKUP(AE$2,'TIS Site Config'!$A$3:$AQ$51,8,FALSE)="No Power, Yes Fiber",
                   OR(VLOOKUP(AE$2,'TIS Site Config'!$A$3:$AQ$51,6,FALSE)="Heated",
                           VLOOKUP(AE$2,'TIS Site Config'!$A$3:$AQ$51,6,FALSE)="Extreme Heated")),
         1,0)</f>
        <v>0</v>
      </c>
      <c r="AF22" s="996">
        <f>IF(AND(VLOOKUP(AF$2,'TIS Site Config'!$A$3:$AQ$51,8,FALSE)="No Power, Yes Fiber",
                   OR(VLOOKUP(AF$2,'TIS Site Config'!$A$3:$AQ$51,6,FALSE)="Heated",
                           VLOOKUP(AF$2,'TIS Site Config'!$A$3:$AQ$51,6,FALSE)="Extreme Heated")),
         1,0)</f>
        <v>0</v>
      </c>
      <c r="AG22" s="159">
        <f>IF(AND(VLOOKUP(AG$2,'TIS Site Config'!$A$3:$AQ$51,8,FALSE)="No Power, Yes Fiber",
                   OR(VLOOKUP(AG$2,'TIS Site Config'!$A$3:$AQ$51,6,FALSE)="Heated",
                           VLOOKUP(AG$2,'TIS Site Config'!$A$3:$AQ$51,6,FALSE)="Extreme Heated")),
         1,0)</f>
        <v>0</v>
      </c>
      <c r="AH22" s="173">
        <f>IF(AND(VLOOKUP(AH$2,'TIS Site Config'!$A$3:$AQ$51,8,FALSE)="No Power, Yes Fiber",
                   OR(VLOOKUP(AH$2,'TIS Site Config'!$A$3:$AQ$51,6,FALSE)="Heated",
                           VLOOKUP(AH$2,'TIS Site Config'!$A$3:$AQ$51,6,FALSE)="Extreme Heated")),
         1,0)</f>
        <v>0</v>
      </c>
      <c r="AI22" s="128">
        <f>IF(AND(VLOOKUP(AI$2,'TIS Site Config'!$A$3:$AQ$51,8,FALSE)="No Power, Yes Fiber",
                   OR(VLOOKUP(AI$2,'TIS Site Config'!$A$3:$AQ$51,6,FALSE)="Heated",
                           VLOOKUP(AI$2,'TIS Site Config'!$A$3:$AQ$51,6,FALSE)="Extreme Heated")),
         1,0)</f>
        <v>0</v>
      </c>
      <c r="AJ22" s="159">
        <f>IF(AND(VLOOKUP(AJ$2,'TIS Site Config'!$A$3:$AQ$51,8,FALSE)="No Power, Yes Fiber",
                   OR(VLOOKUP(AJ$2,'TIS Site Config'!$A$3:$AQ$51,6,FALSE)="Heated",
                           VLOOKUP(AJ$2,'TIS Site Config'!$A$3:$AQ$51,6,FALSE)="Extreme Heated")),
         1,0)</f>
        <v>0</v>
      </c>
      <c r="AK22" s="173">
        <f>IF(AND(VLOOKUP(AK$2,'TIS Site Config'!$A$3:$AQ$51,8,FALSE)="No Power, Yes Fiber",
                   OR(VLOOKUP(AK$2,'TIS Site Config'!$A$3:$AQ$51,6,FALSE)="Heated",
                           VLOOKUP(AK$2,'TIS Site Config'!$A$3:$AQ$51,6,FALSE)="Extreme Heated")),
         1,0)</f>
        <v>0</v>
      </c>
      <c r="AL22" s="128">
        <f>IF(AND(VLOOKUP(AL$2,'TIS Site Config'!$A$3:$AQ$51,8,FALSE)="No Power, Yes Fiber",
                   OR(VLOOKUP(AL$2,'TIS Site Config'!$A$3:$AQ$51,6,FALSE)="Heated",
                           VLOOKUP(AL$2,'TIS Site Config'!$A$3:$AQ$51,6,FALSE)="Extreme Heated")),
         1,0)</f>
        <v>0</v>
      </c>
      <c r="AM22" s="159">
        <f>IF(AND(VLOOKUP(AM$2,'TIS Site Config'!$A$3:$AQ$51,8,FALSE)="No Power, Yes Fiber",
                   OR(VLOOKUP(AM$2,'TIS Site Config'!$A$3:$AQ$51,6,FALSE)="Heated",
                           VLOOKUP(AM$2,'TIS Site Config'!$A$3:$AQ$51,6,FALSE)="Extreme Heated")),
         1,0)</f>
        <v>0</v>
      </c>
      <c r="AN22" s="173">
        <f>IF(AND(VLOOKUP(AN$2,'TIS Site Config'!$A$3:$AQ$51,8,FALSE)="No Power, Yes Fiber",
                   OR(VLOOKUP(AN$2,'TIS Site Config'!$A$3:$AQ$51,6,FALSE)="Heated",
                           VLOOKUP(AN$2,'TIS Site Config'!$A$3:$AQ$51,6,FALSE)="Extreme Heated")),
         1,0)</f>
        <v>0</v>
      </c>
      <c r="AO22" s="128">
        <f>IF(AND(VLOOKUP(AO$2,'TIS Site Config'!$A$3:$AQ$51,8,FALSE)="No Power, Yes Fiber",
                   OR(VLOOKUP(AO$2,'TIS Site Config'!$A$3:$AQ$51,6,FALSE)="Heated",
                           VLOOKUP(AO$2,'TIS Site Config'!$A$3:$AQ$51,6,FALSE)="Extreme Heated")),
         1,0)</f>
        <v>0</v>
      </c>
      <c r="AP22" s="159">
        <f>IF(AND(VLOOKUP(AP$2,'TIS Site Config'!$A$3:$AQ$51,8,FALSE)="No Power, Yes Fiber",
                   OR(VLOOKUP(AP$2,'TIS Site Config'!$A$3:$AQ$51,6,FALSE)="Heated",
                           VLOOKUP(AP$2,'TIS Site Config'!$A$3:$AQ$51,6,FALSE)="Extreme Heated")),
         1,0)</f>
        <v>0</v>
      </c>
      <c r="AQ22" s="128">
        <f>IF(AND(VLOOKUP(AQ$2,'TIS Site Config'!$A$3:$AQ$51,8,FALSE)="No Power, Yes Fiber",
                   OR(VLOOKUP(AQ$2,'TIS Site Config'!$A$3:$AQ$51,6,FALSE)="Heated",
                           VLOOKUP(AQ$2,'TIS Site Config'!$A$3:$AQ$51,6,FALSE)="Extreme Heated")),
         1,0)</f>
        <v>0</v>
      </c>
      <c r="AR22" s="128">
        <f>IF(AND(VLOOKUP(AR$2,'TIS Site Config'!$A$3:$AQ$51,8,FALSE)="No Power, Yes Fiber",
                   OR(VLOOKUP(AR$2,'TIS Site Config'!$A$3:$AQ$51,6,FALSE)="Heated",
                           VLOOKUP(AR$2,'TIS Site Config'!$A$3:$AQ$51,6,FALSE)="Extreme Heated")),
         1,0)</f>
        <v>0</v>
      </c>
      <c r="AS22" s="159">
        <f>IF(AND(VLOOKUP(AS$2,'TIS Site Config'!$A$3:$AQ$51,8,FALSE)="No Power, Yes Fiber",
                   OR(VLOOKUP(AS$2,'TIS Site Config'!$A$3:$AQ$51,6,FALSE)="Heated",
                           VLOOKUP(AS$2,'TIS Site Config'!$A$3:$AQ$51,6,FALSE)="Extreme Heated")),
         1,0)</f>
        <v>0</v>
      </c>
      <c r="AT22" s="128">
        <f>IF(AND(VLOOKUP(AT$2,'TIS Site Config'!$A$3:$AQ$51,8,FALSE)="No Power, Yes Fiber",
                   OR(VLOOKUP(AT$2,'TIS Site Config'!$A$3:$AQ$51,6,FALSE)="Heated",
                           VLOOKUP(AT$2,'TIS Site Config'!$A$3:$AQ$51,6,FALSE)="Extreme Heated")),
         1,0)</f>
        <v>0</v>
      </c>
      <c r="AU22" s="159">
        <f>IF(AND(VLOOKUP(AU$2,'TIS Site Config'!$A$3:$AQ$51,8,FALSE)="No Power, Yes Fiber",
                   OR(VLOOKUP(AU$2,'TIS Site Config'!$A$3:$AQ$51,6,FALSE)="Heated",
                           VLOOKUP(AU$2,'TIS Site Config'!$A$3:$AQ$51,6,FALSE)="Extreme Heated")),
         1,0)</f>
        <v>0</v>
      </c>
      <c r="AV22" s="128">
        <f>IF(AND(VLOOKUP(AV$2,'TIS Site Config'!$A$3:$AQ$51,8,FALSE)="No Power, Yes Fiber",
                   OR(VLOOKUP(AV$2,'TIS Site Config'!$A$3:$AQ$51,6,FALSE)="Heated",
                           VLOOKUP(AV$2,'TIS Site Config'!$A$3:$AQ$51,6,FALSE)="Extreme Heated")),
         1,0)</f>
        <v>0</v>
      </c>
      <c r="AW22" s="128">
        <f>IF(AND(VLOOKUP(AW$2,'TIS Site Config'!$A$3:$AQ$51,8,FALSE)="No Power, Yes Fiber",
                   OR(VLOOKUP(AW$2,'TIS Site Config'!$A$3:$AQ$51,6,FALSE)="Heated",
                           VLOOKUP(AW$2,'TIS Site Config'!$A$3:$AQ$51,6,FALSE)="Extreme Heated")),
         1,0)</f>
        <v>0</v>
      </c>
      <c r="AX22" s="173">
        <f>IF(AND(VLOOKUP(AX$2,'TIS Site Config'!$A$3:$AQ$51,8,FALSE)="No Power, Yes Fiber",
                   OR(VLOOKUP(AX$2,'TIS Site Config'!$A$3:$AQ$51,6,FALSE)="Heated",
                           VLOOKUP(AX$2,'TIS Site Config'!$A$3:$AQ$51,6,FALSE)="Extreme Heated")),
         1,0)</f>
        <v>0</v>
      </c>
      <c r="AY22" s="128">
        <f>IF(AND(VLOOKUP(AY$2,'TIS Site Config'!$A$3:$AQ$51,8,FALSE)="No Power, Yes Fiber",
                   OR(VLOOKUP(AY$2,'TIS Site Config'!$A$3:$AQ$51,6,FALSE)="Heated",
                           VLOOKUP(AY$2,'TIS Site Config'!$A$3:$AQ$51,6,FALSE)="Extreme Heated")),
         1,0)</f>
        <v>0</v>
      </c>
      <c r="AZ22" s="159">
        <f>IF(AND(VLOOKUP(AZ$2,'TIS Site Config'!$A$3:$AQ$51,8,FALSE)="No Power, Yes Fiber",
                   OR(VLOOKUP(AZ$2,'TIS Site Config'!$A$3:$AQ$51,6,FALSE)="Heated",
                           VLOOKUP(AZ$2,'TIS Site Config'!$A$3:$AQ$51,6,FALSE)="Extreme Heated")),
         1,0)</f>
        <v>0</v>
      </c>
      <c r="BA22" s="174">
        <f>IF(AND(VLOOKUP(BA$2,'TIS Site Config'!$A$3:$AQ$51,8,FALSE)="No Power, Yes Fiber",
                   OR(VLOOKUP(BA$2,'TIS Site Config'!$A$3:$AQ$51,6,FALSE)="Heated",
                           VLOOKUP(BA$2,'TIS Site Config'!$A$3:$AQ$51,6,FALSE)="Extreme Heated")),
         1,0)</f>
        <v>0</v>
      </c>
      <c r="BB22" s="128">
        <f>IF(AND(VLOOKUP(BB$2,'TIS Site Config'!$A$3:$AQ$51,8,FALSE)="No Power, Yes Fiber",
                   OR(VLOOKUP(BB$2,'TIS Site Config'!$A$3:$AQ$51,6,FALSE)="Heated",
                           VLOOKUP(BB$2,'TIS Site Config'!$A$3:$AQ$51,6,FALSE)="Extreme Heated")),
         1,0)</f>
        <v>0</v>
      </c>
      <c r="BC22" s="173">
        <f>IF(AND(VLOOKUP(BC$2,'TIS Site Config'!$A$3:$AQ$51,8,FALSE)="No Power, Yes Fiber",
                   OR(VLOOKUP(BC$2,'TIS Site Config'!$A$3:$AQ$51,6,FALSE)="Heated",
                           VLOOKUP(BC$2,'TIS Site Config'!$A$3:$AQ$51,6,FALSE)="Extreme Heated")),
         1,0)</f>
        <v>0</v>
      </c>
      <c r="BD22" s="128">
        <f>IF(AND(VLOOKUP(BD$2,'TIS Site Config'!$A$3:$AQ$51,8,FALSE)="No Power, Yes Fiber",
                   OR(VLOOKUP(BD$2,'TIS Site Config'!$A$3:$AQ$51,6,FALSE)="Heated",
                           VLOOKUP(BD$2,'TIS Site Config'!$A$3:$AQ$51,6,FALSE)="Extreme Heated")),
         1,0)</f>
        <v>1</v>
      </c>
      <c r="BE22" s="159">
        <f>IF(AND(VLOOKUP(BE$2,'TIS Site Config'!$A$3:$AQ$51,8,FALSE)="No Power, Yes Fiber",
                   OR(VLOOKUP(BE$2,'TIS Site Config'!$A$3:$AQ$51,6,FALSE)="Heated",
                           VLOOKUP(BE$2,'TIS Site Config'!$A$3:$AQ$51,6,FALSE)="Extreme Heated")),
         1,0)</f>
        <v>0</v>
      </c>
      <c r="BF22" s="173">
        <f>IF(AND(VLOOKUP(BF$2,'TIS Site Config'!$A$3:$AQ$51,8,FALSE)="No Power, Yes Fiber",
                   OR(VLOOKUP(BF$2,'TIS Site Config'!$A$3:$AQ$51,6,FALSE)="Heated",
                           VLOOKUP(BF$2,'TIS Site Config'!$A$3:$AQ$51,6,FALSE)="Extreme Heated")),
         1,0)</f>
        <v>0</v>
      </c>
      <c r="BG22" s="175">
        <f>IF(AND(VLOOKUP(BG$2,'TIS Site Config'!$A$3:$AQ$51,8,FALSE)="No Power, Yes Fiber",
                   OR(VLOOKUP(BG$2,'TIS Site Config'!$A$3:$AQ$51,6,FALSE)="Heated",
                           VLOOKUP(BG$2,'TIS Site Config'!$A$3:$AQ$51,6,FALSE)="Extreme Heated")),
         1,0)</f>
        <v>0</v>
      </c>
      <c r="BH22" s="175">
        <f>IF(AND(VLOOKUP(BH$2,'TIS Site Config'!$A$3:$AQ$51,8,FALSE)="No Power, Yes Fiber",
                   OR(VLOOKUP(BH$2,'TIS Site Config'!$A$3:$AQ$51,6,FALSE)="Heated",
                           VLOOKUP(BH$2,'TIS Site Config'!$A$3:$AQ$51,6,FALSE)="Extreme Heated")),
         1,0)</f>
        <v>0</v>
      </c>
    </row>
    <row r="23" spans="1:67" s="5" customFormat="1" x14ac:dyDescent="0.25">
      <c r="A23" s="1346" t="s">
        <v>61</v>
      </c>
      <c r="B23" s="1349" t="s">
        <v>150</v>
      </c>
      <c r="C23" s="66" t="s">
        <v>188</v>
      </c>
      <c r="D23" s="89">
        <v>1</v>
      </c>
      <c r="E23" s="112" t="s">
        <v>332</v>
      </c>
      <c r="F23" s="203">
        <f t="shared" si="1"/>
        <v>47</v>
      </c>
      <c r="G23" s="467"/>
      <c r="H23" s="468"/>
      <c r="I23" s="468"/>
      <c r="J23" s="468"/>
      <c r="K23" s="469"/>
      <c r="L23" s="497"/>
      <c r="M23" s="130">
        <f>1</f>
        <v>1</v>
      </c>
      <c r="N23" s="185">
        <f>1</f>
        <v>1</v>
      </c>
      <c r="O23" s="189">
        <f>1</f>
        <v>1</v>
      </c>
      <c r="P23" s="184">
        <f>1</f>
        <v>1</v>
      </c>
      <c r="Q23" s="185">
        <f>1</f>
        <v>1</v>
      </c>
      <c r="R23" s="130">
        <f>1</f>
        <v>1</v>
      </c>
      <c r="S23" s="184">
        <f>1</f>
        <v>1</v>
      </c>
      <c r="T23" s="185">
        <f>1</f>
        <v>1</v>
      </c>
      <c r="U23" s="130">
        <f>1</f>
        <v>1</v>
      </c>
      <c r="V23" s="185">
        <f>1</f>
        <v>1</v>
      </c>
      <c r="W23" s="188">
        <f>1</f>
        <v>1</v>
      </c>
      <c r="X23" s="184">
        <f>1</f>
        <v>1</v>
      </c>
      <c r="Y23" s="185">
        <f>1</f>
        <v>1</v>
      </c>
      <c r="Z23" s="130">
        <f>1</f>
        <v>1</v>
      </c>
      <c r="AA23" s="184">
        <f>1</f>
        <v>1</v>
      </c>
      <c r="AB23" s="185">
        <f>1</f>
        <v>1</v>
      </c>
      <c r="AC23" s="184">
        <f>1</f>
        <v>1</v>
      </c>
      <c r="AD23" s="186">
        <f>1</f>
        <v>1</v>
      </c>
      <c r="AE23" s="186">
        <f>1</f>
        <v>1</v>
      </c>
      <c r="AF23" s="999">
        <f>1</f>
        <v>1</v>
      </c>
      <c r="AG23" s="184">
        <f>1</f>
        <v>1</v>
      </c>
      <c r="AH23" s="185">
        <f>1</f>
        <v>1</v>
      </c>
      <c r="AI23" s="130">
        <f>1</f>
        <v>1</v>
      </c>
      <c r="AJ23" s="184">
        <f>1</f>
        <v>1</v>
      </c>
      <c r="AK23" s="185">
        <f>1</f>
        <v>1</v>
      </c>
      <c r="AL23" s="130">
        <f>1</f>
        <v>1</v>
      </c>
      <c r="AM23" s="184">
        <f>1</f>
        <v>1</v>
      </c>
      <c r="AN23" s="185">
        <f>1</f>
        <v>1</v>
      </c>
      <c r="AO23" s="130">
        <f>1</f>
        <v>1</v>
      </c>
      <c r="AP23" s="184">
        <f>1</f>
        <v>1</v>
      </c>
      <c r="AQ23" s="130">
        <f>1</f>
        <v>1</v>
      </c>
      <c r="AR23" s="130">
        <f>1</f>
        <v>1</v>
      </c>
      <c r="AS23" s="184">
        <f>1</f>
        <v>1</v>
      </c>
      <c r="AT23" s="130">
        <f>1</f>
        <v>1</v>
      </c>
      <c r="AU23" s="184">
        <f>1</f>
        <v>1</v>
      </c>
      <c r="AV23" s="130">
        <f>1</f>
        <v>1</v>
      </c>
      <c r="AW23" s="130">
        <f>1</f>
        <v>1</v>
      </c>
      <c r="AX23" s="185">
        <f>1</f>
        <v>1</v>
      </c>
      <c r="AY23" s="130">
        <f>1</f>
        <v>1</v>
      </c>
      <c r="AZ23" s="184">
        <f>1</f>
        <v>1</v>
      </c>
      <c r="BA23" s="186">
        <f>1</f>
        <v>1</v>
      </c>
      <c r="BB23" s="130">
        <f>1</f>
        <v>1</v>
      </c>
      <c r="BC23" s="185">
        <f>1</f>
        <v>1</v>
      </c>
      <c r="BD23" s="130">
        <f>1</f>
        <v>1</v>
      </c>
      <c r="BE23" s="184">
        <f>1</f>
        <v>1</v>
      </c>
      <c r="BF23" s="185">
        <f>1</f>
        <v>1</v>
      </c>
      <c r="BG23" s="187">
        <f>1</f>
        <v>1</v>
      </c>
      <c r="BH23" s="187"/>
      <c r="BK23" s="5">
        <v>60</v>
      </c>
      <c r="BL23" s="950" t="b">
        <f t="shared" si="0"/>
        <v>0</v>
      </c>
      <c r="BO23" s="950"/>
    </row>
    <row r="24" spans="1:67" s="5" customFormat="1" x14ac:dyDescent="0.25">
      <c r="A24" s="1347"/>
      <c r="B24" s="1261"/>
      <c r="C24" s="57" t="s">
        <v>189</v>
      </c>
      <c r="D24" s="90">
        <v>1</v>
      </c>
      <c r="E24" s="85" t="s">
        <v>327</v>
      </c>
      <c r="F24" s="60">
        <f t="shared" si="1"/>
        <v>47</v>
      </c>
      <c r="G24" s="459"/>
      <c r="H24" s="460"/>
      <c r="I24" s="460"/>
      <c r="J24" s="460"/>
      <c r="K24" s="461"/>
      <c r="L24" s="494"/>
      <c r="M24" s="128">
        <f>1</f>
        <v>1</v>
      </c>
      <c r="N24" s="173">
        <f>1</f>
        <v>1</v>
      </c>
      <c r="O24" s="177">
        <f>1</f>
        <v>1</v>
      </c>
      <c r="P24" s="159">
        <f>1</f>
        <v>1</v>
      </c>
      <c r="Q24" s="173">
        <f>1</f>
        <v>1</v>
      </c>
      <c r="R24" s="128">
        <f>1</f>
        <v>1</v>
      </c>
      <c r="S24" s="159">
        <f>1</f>
        <v>1</v>
      </c>
      <c r="T24" s="173">
        <f>1</f>
        <v>1</v>
      </c>
      <c r="U24" s="128">
        <f>1</f>
        <v>1</v>
      </c>
      <c r="V24" s="173">
        <f>1</f>
        <v>1</v>
      </c>
      <c r="W24" s="176">
        <f>1</f>
        <v>1</v>
      </c>
      <c r="X24" s="159">
        <f>1</f>
        <v>1</v>
      </c>
      <c r="Y24" s="173">
        <f>1</f>
        <v>1</v>
      </c>
      <c r="Z24" s="128">
        <f>1</f>
        <v>1</v>
      </c>
      <c r="AA24" s="159">
        <f>1</f>
        <v>1</v>
      </c>
      <c r="AB24" s="173">
        <f>1</f>
        <v>1</v>
      </c>
      <c r="AC24" s="159">
        <f>1</f>
        <v>1</v>
      </c>
      <c r="AD24" s="174">
        <f>1</f>
        <v>1</v>
      </c>
      <c r="AE24" s="174">
        <f>1</f>
        <v>1</v>
      </c>
      <c r="AF24" s="996">
        <f>1</f>
        <v>1</v>
      </c>
      <c r="AG24" s="159">
        <f>1</f>
        <v>1</v>
      </c>
      <c r="AH24" s="173">
        <f>1</f>
        <v>1</v>
      </c>
      <c r="AI24" s="128">
        <f>1</f>
        <v>1</v>
      </c>
      <c r="AJ24" s="159">
        <f>1</f>
        <v>1</v>
      </c>
      <c r="AK24" s="173">
        <f>1</f>
        <v>1</v>
      </c>
      <c r="AL24" s="128">
        <f>1</f>
        <v>1</v>
      </c>
      <c r="AM24" s="159">
        <f>1</f>
        <v>1</v>
      </c>
      <c r="AN24" s="173">
        <f>1</f>
        <v>1</v>
      </c>
      <c r="AO24" s="128">
        <f>1</f>
        <v>1</v>
      </c>
      <c r="AP24" s="159">
        <f>1</f>
        <v>1</v>
      </c>
      <c r="AQ24" s="128">
        <f>1</f>
        <v>1</v>
      </c>
      <c r="AR24" s="128">
        <f>1</f>
        <v>1</v>
      </c>
      <c r="AS24" s="159">
        <f>1</f>
        <v>1</v>
      </c>
      <c r="AT24" s="128">
        <f>1</f>
        <v>1</v>
      </c>
      <c r="AU24" s="159">
        <f>1</f>
        <v>1</v>
      </c>
      <c r="AV24" s="128">
        <f>1</f>
        <v>1</v>
      </c>
      <c r="AW24" s="128">
        <f>1</f>
        <v>1</v>
      </c>
      <c r="AX24" s="173">
        <f>1</f>
        <v>1</v>
      </c>
      <c r="AY24" s="128">
        <f>1</f>
        <v>1</v>
      </c>
      <c r="AZ24" s="159">
        <f>1</f>
        <v>1</v>
      </c>
      <c r="BA24" s="174">
        <f>1</f>
        <v>1</v>
      </c>
      <c r="BB24" s="128">
        <f>1</f>
        <v>1</v>
      </c>
      <c r="BC24" s="173">
        <f>1</f>
        <v>1</v>
      </c>
      <c r="BD24" s="128">
        <f>1</f>
        <v>1</v>
      </c>
      <c r="BE24" s="159">
        <f>1</f>
        <v>1</v>
      </c>
      <c r="BF24" s="173">
        <f>1</f>
        <v>1</v>
      </c>
      <c r="BG24" s="175">
        <f>1</f>
        <v>1</v>
      </c>
      <c r="BH24" s="175"/>
      <c r="BK24" s="5">
        <v>60</v>
      </c>
      <c r="BL24" s="950" t="b">
        <f t="shared" si="0"/>
        <v>0</v>
      </c>
      <c r="BO24" s="950"/>
    </row>
    <row r="25" spans="1:67" s="5" customFormat="1" x14ac:dyDescent="0.25">
      <c r="A25" s="1347"/>
      <c r="B25" s="1261"/>
      <c r="C25" s="57" t="s">
        <v>190</v>
      </c>
      <c r="D25" s="90">
        <v>1</v>
      </c>
      <c r="E25" s="85" t="s">
        <v>328</v>
      </c>
      <c r="F25" s="60">
        <f t="shared" si="1"/>
        <v>47</v>
      </c>
      <c r="G25" s="459"/>
      <c r="H25" s="460"/>
      <c r="I25" s="460"/>
      <c r="J25" s="460"/>
      <c r="K25" s="461"/>
      <c r="L25" s="494"/>
      <c r="M25" s="128">
        <f>1</f>
        <v>1</v>
      </c>
      <c r="N25" s="173">
        <f>1</f>
        <v>1</v>
      </c>
      <c r="O25" s="177">
        <f>1</f>
        <v>1</v>
      </c>
      <c r="P25" s="159">
        <f>1</f>
        <v>1</v>
      </c>
      <c r="Q25" s="173">
        <f>1</f>
        <v>1</v>
      </c>
      <c r="R25" s="128">
        <f>1</f>
        <v>1</v>
      </c>
      <c r="S25" s="159">
        <f>1</f>
        <v>1</v>
      </c>
      <c r="T25" s="173">
        <f>1</f>
        <v>1</v>
      </c>
      <c r="U25" s="128">
        <f>1</f>
        <v>1</v>
      </c>
      <c r="V25" s="173">
        <f>1</f>
        <v>1</v>
      </c>
      <c r="W25" s="176">
        <f>1</f>
        <v>1</v>
      </c>
      <c r="X25" s="159">
        <f>1</f>
        <v>1</v>
      </c>
      <c r="Y25" s="173">
        <f>1</f>
        <v>1</v>
      </c>
      <c r="Z25" s="128">
        <f>1</f>
        <v>1</v>
      </c>
      <c r="AA25" s="159">
        <f>1</f>
        <v>1</v>
      </c>
      <c r="AB25" s="173">
        <f>1</f>
        <v>1</v>
      </c>
      <c r="AC25" s="159">
        <f>1</f>
        <v>1</v>
      </c>
      <c r="AD25" s="174">
        <f>1</f>
        <v>1</v>
      </c>
      <c r="AE25" s="174">
        <f>1</f>
        <v>1</v>
      </c>
      <c r="AF25" s="996">
        <f>1</f>
        <v>1</v>
      </c>
      <c r="AG25" s="159">
        <f>1</f>
        <v>1</v>
      </c>
      <c r="AH25" s="173">
        <f>1</f>
        <v>1</v>
      </c>
      <c r="AI25" s="128">
        <f>1</f>
        <v>1</v>
      </c>
      <c r="AJ25" s="159">
        <f>1</f>
        <v>1</v>
      </c>
      <c r="AK25" s="173">
        <f>1</f>
        <v>1</v>
      </c>
      <c r="AL25" s="128">
        <f>1</f>
        <v>1</v>
      </c>
      <c r="AM25" s="159">
        <f>1</f>
        <v>1</v>
      </c>
      <c r="AN25" s="173">
        <f>1</f>
        <v>1</v>
      </c>
      <c r="AO25" s="128">
        <f>1</f>
        <v>1</v>
      </c>
      <c r="AP25" s="159">
        <f>1</f>
        <v>1</v>
      </c>
      <c r="AQ25" s="128">
        <f>1</f>
        <v>1</v>
      </c>
      <c r="AR25" s="128">
        <f>1</f>
        <v>1</v>
      </c>
      <c r="AS25" s="159">
        <f>1</f>
        <v>1</v>
      </c>
      <c r="AT25" s="128">
        <f>1</f>
        <v>1</v>
      </c>
      <c r="AU25" s="159">
        <f>1</f>
        <v>1</v>
      </c>
      <c r="AV25" s="128">
        <f>1</f>
        <v>1</v>
      </c>
      <c r="AW25" s="128">
        <f>1</f>
        <v>1</v>
      </c>
      <c r="AX25" s="173">
        <f>1</f>
        <v>1</v>
      </c>
      <c r="AY25" s="128">
        <f>1</f>
        <v>1</v>
      </c>
      <c r="AZ25" s="159">
        <f>1</f>
        <v>1</v>
      </c>
      <c r="BA25" s="174">
        <f>1</f>
        <v>1</v>
      </c>
      <c r="BB25" s="128">
        <f>1</f>
        <v>1</v>
      </c>
      <c r="BC25" s="173">
        <f>1</f>
        <v>1</v>
      </c>
      <c r="BD25" s="128">
        <f>1</f>
        <v>1</v>
      </c>
      <c r="BE25" s="159">
        <f>1</f>
        <v>1</v>
      </c>
      <c r="BF25" s="173">
        <f>1</f>
        <v>1</v>
      </c>
      <c r="BG25" s="175">
        <f>1</f>
        <v>1</v>
      </c>
      <c r="BH25" s="175"/>
      <c r="BK25" s="5">
        <v>60</v>
      </c>
      <c r="BL25" s="950" t="b">
        <f t="shared" si="0"/>
        <v>0</v>
      </c>
      <c r="BO25" s="950"/>
    </row>
    <row r="26" spans="1:67" s="5" customFormat="1" x14ac:dyDescent="0.25">
      <c r="A26" s="1347"/>
      <c r="B26" s="1261"/>
      <c r="C26" s="57" t="s">
        <v>191</v>
      </c>
      <c r="D26" s="90">
        <v>1</v>
      </c>
      <c r="E26" s="85" t="s">
        <v>329</v>
      </c>
      <c r="F26" s="60">
        <f t="shared" si="1"/>
        <v>47</v>
      </c>
      <c r="G26" s="459"/>
      <c r="H26" s="460"/>
      <c r="I26" s="460"/>
      <c r="J26" s="460"/>
      <c r="K26" s="461"/>
      <c r="L26" s="494"/>
      <c r="M26" s="128">
        <f>1</f>
        <v>1</v>
      </c>
      <c r="N26" s="173">
        <f>1</f>
        <v>1</v>
      </c>
      <c r="O26" s="177">
        <f>1</f>
        <v>1</v>
      </c>
      <c r="P26" s="159">
        <f>1</f>
        <v>1</v>
      </c>
      <c r="Q26" s="173">
        <f>1</f>
        <v>1</v>
      </c>
      <c r="R26" s="128">
        <f>1</f>
        <v>1</v>
      </c>
      <c r="S26" s="159">
        <f>1</f>
        <v>1</v>
      </c>
      <c r="T26" s="173">
        <f>1</f>
        <v>1</v>
      </c>
      <c r="U26" s="128">
        <f>1</f>
        <v>1</v>
      </c>
      <c r="V26" s="173">
        <f>1</f>
        <v>1</v>
      </c>
      <c r="W26" s="176">
        <f>1</f>
        <v>1</v>
      </c>
      <c r="X26" s="159">
        <f>1</f>
        <v>1</v>
      </c>
      <c r="Y26" s="173">
        <f>1</f>
        <v>1</v>
      </c>
      <c r="Z26" s="128">
        <f>1</f>
        <v>1</v>
      </c>
      <c r="AA26" s="159">
        <f>1</f>
        <v>1</v>
      </c>
      <c r="AB26" s="173">
        <f>1</f>
        <v>1</v>
      </c>
      <c r="AC26" s="159">
        <f>1</f>
        <v>1</v>
      </c>
      <c r="AD26" s="174">
        <f>1</f>
        <v>1</v>
      </c>
      <c r="AE26" s="174">
        <f>1</f>
        <v>1</v>
      </c>
      <c r="AF26" s="996">
        <f>1</f>
        <v>1</v>
      </c>
      <c r="AG26" s="159">
        <f>1</f>
        <v>1</v>
      </c>
      <c r="AH26" s="173">
        <f>1</f>
        <v>1</v>
      </c>
      <c r="AI26" s="128">
        <f>1</f>
        <v>1</v>
      </c>
      <c r="AJ26" s="159">
        <f>1</f>
        <v>1</v>
      </c>
      <c r="AK26" s="173">
        <f>1</f>
        <v>1</v>
      </c>
      <c r="AL26" s="128">
        <f>1</f>
        <v>1</v>
      </c>
      <c r="AM26" s="159">
        <f>1</f>
        <v>1</v>
      </c>
      <c r="AN26" s="173">
        <f>1</f>
        <v>1</v>
      </c>
      <c r="AO26" s="128">
        <f>1</f>
        <v>1</v>
      </c>
      <c r="AP26" s="159">
        <f>1</f>
        <v>1</v>
      </c>
      <c r="AQ26" s="128">
        <f>1</f>
        <v>1</v>
      </c>
      <c r="AR26" s="128">
        <f>1</f>
        <v>1</v>
      </c>
      <c r="AS26" s="159">
        <f>1</f>
        <v>1</v>
      </c>
      <c r="AT26" s="128">
        <f>1</f>
        <v>1</v>
      </c>
      <c r="AU26" s="159">
        <f>1</f>
        <v>1</v>
      </c>
      <c r="AV26" s="128">
        <f>1</f>
        <v>1</v>
      </c>
      <c r="AW26" s="128">
        <f>1</f>
        <v>1</v>
      </c>
      <c r="AX26" s="173">
        <f>1</f>
        <v>1</v>
      </c>
      <c r="AY26" s="128">
        <f>1</f>
        <v>1</v>
      </c>
      <c r="AZ26" s="159">
        <f>1</f>
        <v>1</v>
      </c>
      <c r="BA26" s="174">
        <f>1</f>
        <v>1</v>
      </c>
      <c r="BB26" s="128">
        <f>1</f>
        <v>1</v>
      </c>
      <c r="BC26" s="173">
        <f>1</f>
        <v>1</v>
      </c>
      <c r="BD26" s="128">
        <f>1</f>
        <v>1</v>
      </c>
      <c r="BE26" s="159">
        <f>1</f>
        <v>1</v>
      </c>
      <c r="BF26" s="173">
        <f>1</f>
        <v>1</v>
      </c>
      <c r="BG26" s="175">
        <f>1</f>
        <v>1</v>
      </c>
      <c r="BH26" s="175"/>
      <c r="BK26" s="5">
        <v>60</v>
      </c>
      <c r="BL26" s="950" t="b">
        <f t="shared" si="0"/>
        <v>0</v>
      </c>
      <c r="BO26" s="950"/>
    </row>
    <row r="27" spans="1:67" s="5" customFormat="1" x14ac:dyDescent="0.25">
      <c r="A27" s="1347"/>
      <c r="B27" s="1261"/>
      <c r="C27" s="57" t="s">
        <v>192</v>
      </c>
      <c r="D27" s="90">
        <v>1</v>
      </c>
      <c r="E27" s="85" t="s">
        <v>330</v>
      </c>
      <c r="F27" s="60">
        <f t="shared" si="1"/>
        <v>47</v>
      </c>
      <c r="G27" s="459"/>
      <c r="H27" s="460"/>
      <c r="I27" s="460"/>
      <c r="J27" s="460"/>
      <c r="K27" s="461"/>
      <c r="L27" s="494"/>
      <c r="M27" s="128">
        <f>1</f>
        <v>1</v>
      </c>
      <c r="N27" s="173">
        <f>1</f>
        <v>1</v>
      </c>
      <c r="O27" s="177">
        <f>1</f>
        <v>1</v>
      </c>
      <c r="P27" s="159">
        <f>1</f>
        <v>1</v>
      </c>
      <c r="Q27" s="173">
        <f>1</f>
        <v>1</v>
      </c>
      <c r="R27" s="128">
        <f>1</f>
        <v>1</v>
      </c>
      <c r="S27" s="159">
        <f>1</f>
        <v>1</v>
      </c>
      <c r="T27" s="173">
        <f>1</f>
        <v>1</v>
      </c>
      <c r="U27" s="128">
        <f>1</f>
        <v>1</v>
      </c>
      <c r="V27" s="173">
        <f>1</f>
        <v>1</v>
      </c>
      <c r="W27" s="176">
        <f>1</f>
        <v>1</v>
      </c>
      <c r="X27" s="159">
        <f>1</f>
        <v>1</v>
      </c>
      <c r="Y27" s="173">
        <f>1</f>
        <v>1</v>
      </c>
      <c r="Z27" s="128">
        <f>1</f>
        <v>1</v>
      </c>
      <c r="AA27" s="159">
        <f>1</f>
        <v>1</v>
      </c>
      <c r="AB27" s="173">
        <f>1</f>
        <v>1</v>
      </c>
      <c r="AC27" s="159">
        <f>1</f>
        <v>1</v>
      </c>
      <c r="AD27" s="174">
        <f>1</f>
        <v>1</v>
      </c>
      <c r="AE27" s="174">
        <f>1</f>
        <v>1</v>
      </c>
      <c r="AF27" s="996">
        <f>1</f>
        <v>1</v>
      </c>
      <c r="AG27" s="159">
        <f>1</f>
        <v>1</v>
      </c>
      <c r="AH27" s="173">
        <f>1</f>
        <v>1</v>
      </c>
      <c r="AI27" s="128">
        <f>1</f>
        <v>1</v>
      </c>
      <c r="AJ27" s="159">
        <f>1</f>
        <v>1</v>
      </c>
      <c r="AK27" s="173">
        <f>1</f>
        <v>1</v>
      </c>
      <c r="AL27" s="128">
        <f>1</f>
        <v>1</v>
      </c>
      <c r="AM27" s="159">
        <f>1</f>
        <v>1</v>
      </c>
      <c r="AN27" s="173">
        <f>1</f>
        <v>1</v>
      </c>
      <c r="AO27" s="128">
        <f>1</f>
        <v>1</v>
      </c>
      <c r="AP27" s="159">
        <f>1</f>
        <v>1</v>
      </c>
      <c r="AQ27" s="128">
        <f>1</f>
        <v>1</v>
      </c>
      <c r="AR27" s="128">
        <f>1</f>
        <v>1</v>
      </c>
      <c r="AS27" s="159">
        <f>1</f>
        <v>1</v>
      </c>
      <c r="AT27" s="128">
        <f>1</f>
        <v>1</v>
      </c>
      <c r="AU27" s="159">
        <f>1</f>
        <v>1</v>
      </c>
      <c r="AV27" s="128">
        <f>1</f>
        <v>1</v>
      </c>
      <c r="AW27" s="128">
        <f>1</f>
        <v>1</v>
      </c>
      <c r="AX27" s="173">
        <f>1</f>
        <v>1</v>
      </c>
      <c r="AY27" s="128">
        <f>1</f>
        <v>1</v>
      </c>
      <c r="AZ27" s="159">
        <f>1</f>
        <v>1</v>
      </c>
      <c r="BA27" s="174">
        <f>1</f>
        <v>1</v>
      </c>
      <c r="BB27" s="128">
        <f>1</f>
        <v>1</v>
      </c>
      <c r="BC27" s="173">
        <f>1</f>
        <v>1</v>
      </c>
      <c r="BD27" s="128">
        <f>1</f>
        <v>1</v>
      </c>
      <c r="BE27" s="159">
        <f>1</f>
        <v>1</v>
      </c>
      <c r="BF27" s="173">
        <f>1</f>
        <v>1</v>
      </c>
      <c r="BG27" s="175">
        <f>1</f>
        <v>1</v>
      </c>
      <c r="BH27" s="175"/>
      <c r="BK27" s="5">
        <v>60</v>
      </c>
      <c r="BL27" s="950" t="b">
        <f t="shared" si="0"/>
        <v>0</v>
      </c>
      <c r="BO27" s="950"/>
    </row>
    <row r="28" spans="1:67" s="5" customFormat="1" x14ac:dyDescent="0.25">
      <c r="A28" s="1347"/>
      <c r="B28" s="1261"/>
      <c r="C28" s="57" t="s">
        <v>193</v>
      </c>
      <c r="D28" s="90">
        <v>3</v>
      </c>
      <c r="E28" s="85" t="s">
        <v>331</v>
      </c>
      <c r="F28" s="60">
        <f t="shared" si="1"/>
        <v>47</v>
      </c>
      <c r="G28" s="459"/>
      <c r="H28" s="460"/>
      <c r="I28" s="460"/>
      <c r="J28" s="460"/>
      <c r="K28" s="461"/>
      <c r="L28" s="494"/>
      <c r="M28" s="128">
        <f>1</f>
        <v>1</v>
      </c>
      <c r="N28" s="173">
        <f>1</f>
        <v>1</v>
      </c>
      <c r="O28" s="177">
        <f>1</f>
        <v>1</v>
      </c>
      <c r="P28" s="159">
        <f>1</f>
        <v>1</v>
      </c>
      <c r="Q28" s="173">
        <f>1</f>
        <v>1</v>
      </c>
      <c r="R28" s="128">
        <f>1</f>
        <v>1</v>
      </c>
      <c r="S28" s="159">
        <f>1</f>
        <v>1</v>
      </c>
      <c r="T28" s="173">
        <f>1</f>
        <v>1</v>
      </c>
      <c r="U28" s="128">
        <f>1</f>
        <v>1</v>
      </c>
      <c r="V28" s="173">
        <f>1</f>
        <v>1</v>
      </c>
      <c r="W28" s="176">
        <f>1</f>
        <v>1</v>
      </c>
      <c r="X28" s="159">
        <f>1</f>
        <v>1</v>
      </c>
      <c r="Y28" s="173">
        <f>1</f>
        <v>1</v>
      </c>
      <c r="Z28" s="128">
        <f>1</f>
        <v>1</v>
      </c>
      <c r="AA28" s="159">
        <f>1</f>
        <v>1</v>
      </c>
      <c r="AB28" s="173">
        <f>1</f>
        <v>1</v>
      </c>
      <c r="AC28" s="159">
        <f>1</f>
        <v>1</v>
      </c>
      <c r="AD28" s="174">
        <f>1</f>
        <v>1</v>
      </c>
      <c r="AE28" s="174">
        <f>1</f>
        <v>1</v>
      </c>
      <c r="AF28" s="996">
        <f>1</f>
        <v>1</v>
      </c>
      <c r="AG28" s="159">
        <f>1</f>
        <v>1</v>
      </c>
      <c r="AH28" s="173">
        <f>1</f>
        <v>1</v>
      </c>
      <c r="AI28" s="128">
        <f>1</f>
        <v>1</v>
      </c>
      <c r="AJ28" s="159">
        <f>1</f>
        <v>1</v>
      </c>
      <c r="AK28" s="173">
        <f>1</f>
        <v>1</v>
      </c>
      <c r="AL28" s="128">
        <f>1</f>
        <v>1</v>
      </c>
      <c r="AM28" s="159">
        <f>1</f>
        <v>1</v>
      </c>
      <c r="AN28" s="173">
        <f>1</f>
        <v>1</v>
      </c>
      <c r="AO28" s="128">
        <f>1</f>
        <v>1</v>
      </c>
      <c r="AP28" s="159">
        <f>1</f>
        <v>1</v>
      </c>
      <c r="AQ28" s="128">
        <f>1</f>
        <v>1</v>
      </c>
      <c r="AR28" s="128">
        <f>1</f>
        <v>1</v>
      </c>
      <c r="AS28" s="159">
        <f>1</f>
        <v>1</v>
      </c>
      <c r="AT28" s="128">
        <f>1</f>
        <v>1</v>
      </c>
      <c r="AU28" s="159">
        <f>1</f>
        <v>1</v>
      </c>
      <c r="AV28" s="128">
        <f>1</f>
        <v>1</v>
      </c>
      <c r="AW28" s="128">
        <f>1</f>
        <v>1</v>
      </c>
      <c r="AX28" s="173">
        <f>1</f>
        <v>1</v>
      </c>
      <c r="AY28" s="128">
        <f>1</f>
        <v>1</v>
      </c>
      <c r="AZ28" s="159">
        <f>1</f>
        <v>1</v>
      </c>
      <c r="BA28" s="174">
        <f>1</f>
        <v>1</v>
      </c>
      <c r="BB28" s="128">
        <f>1</f>
        <v>1</v>
      </c>
      <c r="BC28" s="173">
        <f>1</f>
        <v>1</v>
      </c>
      <c r="BD28" s="128">
        <f>1</f>
        <v>1</v>
      </c>
      <c r="BE28" s="159">
        <f>1</f>
        <v>1</v>
      </c>
      <c r="BF28" s="173">
        <f>1</f>
        <v>1</v>
      </c>
      <c r="BG28" s="175">
        <f>1</f>
        <v>1</v>
      </c>
      <c r="BH28" s="175"/>
      <c r="BK28" s="5">
        <v>60</v>
      </c>
      <c r="BL28" s="950" t="b">
        <f t="shared" si="0"/>
        <v>0</v>
      </c>
      <c r="BO28" s="950"/>
    </row>
    <row r="29" spans="1:67" s="45" customFormat="1" x14ac:dyDescent="0.25">
      <c r="A29" s="1347"/>
      <c r="B29" s="1261"/>
      <c r="C29" s="57" t="s">
        <v>944</v>
      </c>
      <c r="D29" s="90">
        <v>4</v>
      </c>
      <c r="E29" s="85" t="s">
        <v>945</v>
      </c>
      <c r="F29" s="60">
        <f t="shared" si="1"/>
        <v>47</v>
      </c>
      <c r="G29" s="459"/>
      <c r="H29" s="460"/>
      <c r="I29" s="460"/>
      <c r="J29" s="460"/>
      <c r="K29" s="461"/>
      <c r="L29" s="494"/>
      <c r="M29" s="128">
        <f>1</f>
        <v>1</v>
      </c>
      <c r="N29" s="173">
        <f>1</f>
        <v>1</v>
      </c>
      <c r="O29" s="177">
        <f>1</f>
        <v>1</v>
      </c>
      <c r="P29" s="159">
        <f>1</f>
        <v>1</v>
      </c>
      <c r="Q29" s="173">
        <f>1</f>
        <v>1</v>
      </c>
      <c r="R29" s="128">
        <f>1</f>
        <v>1</v>
      </c>
      <c r="S29" s="159">
        <f>1</f>
        <v>1</v>
      </c>
      <c r="T29" s="173">
        <f>1</f>
        <v>1</v>
      </c>
      <c r="U29" s="128">
        <f>1</f>
        <v>1</v>
      </c>
      <c r="V29" s="173">
        <f>1</f>
        <v>1</v>
      </c>
      <c r="W29" s="176">
        <f>1</f>
        <v>1</v>
      </c>
      <c r="X29" s="159">
        <f>1</f>
        <v>1</v>
      </c>
      <c r="Y29" s="173">
        <f>1</f>
        <v>1</v>
      </c>
      <c r="Z29" s="128">
        <f>1</f>
        <v>1</v>
      </c>
      <c r="AA29" s="159">
        <f>1</f>
        <v>1</v>
      </c>
      <c r="AB29" s="173">
        <f>1</f>
        <v>1</v>
      </c>
      <c r="AC29" s="159">
        <f>1</f>
        <v>1</v>
      </c>
      <c r="AD29" s="174">
        <f>1</f>
        <v>1</v>
      </c>
      <c r="AE29" s="174">
        <f>1</f>
        <v>1</v>
      </c>
      <c r="AF29" s="996">
        <f>1</f>
        <v>1</v>
      </c>
      <c r="AG29" s="159">
        <f>1</f>
        <v>1</v>
      </c>
      <c r="AH29" s="173">
        <f>1</f>
        <v>1</v>
      </c>
      <c r="AI29" s="128">
        <f>1</f>
        <v>1</v>
      </c>
      <c r="AJ29" s="159">
        <f>1</f>
        <v>1</v>
      </c>
      <c r="AK29" s="173">
        <f>1</f>
        <v>1</v>
      </c>
      <c r="AL29" s="128">
        <f>1</f>
        <v>1</v>
      </c>
      <c r="AM29" s="159">
        <f>1</f>
        <v>1</v>
      </c>
      <c r="AN29" s="173">
        <f>1</f>
        <v>1</v>
      </c>
      <c r="AO29" s="128">
        <f>1</f>
        <v>1</v>
      </c>
      <c r="AP29" s="159">
        <f>1</f>
        <v>1</v>
      </c>
      <c r="AQ29" s="128">
        <f>1</f>
        <v>1</v>
      </c>
      <c r="AR29" s="128">
        <f>1</f>
        <v>1</v>
      </c>
      <c r="AS29" s="159">
        <f>1</f>
        <v>1</v>
      </c>
      <c r="AT29" s="128">
        <f>1</f>
        <v>1</v>
      </c>
      <c r="AU29" s="159">
        <f>1</f>
        <v>1</v>
      </c>
      <c r="AV29" s="128">
        <f>1</f>
        <v>1</v>
      </c>
      <c r="AW29" s="128">
        <f>1</f>
        <v>1</v>
      </c>
      <c r="AX29" s="173">
        <f>1</f>
        <v>1</v>
      </c>
      <c r="AY29" s="128">
        <f>1</f>
        <v>1</v>
      </c>
      <c r="AZ29" s="159">
        <f>1</f>
        <v>1</v>
      </c>
      <c r="BA29" s="174">
        <f>1</f>
        <v>1</v>
      </c>
      <c r="BB29" s="128">
        <f>1</f>
        <v>1</v>
      </c>
      <c r="BC29" s="173">
        <f>1</f>
        <v>1</v>
      </c>
      <c r="BD29" s="128">
        <f>1</f>
        <v>1</v>
      </c>
      <c r="BE29" s="159">
        <f>1</f>
        <v>1</v>
      </c>
      <c r="BF29" s="173">
        <f>1</f>
        <v>1</v>
      </c>
      <c r="BG29" s="175">
        <f>1</f>
        <v>1</v>
      </c>
      <c r="BH29" s="175"/>
      <c r="BK29" s="45">
        <v>60</v>
      </c>
      <c r="BL29" s="950" t="b">
        <f t="shared" si="0"/>
        <v>0</v>
      </c>
      <c r="BO29" s="950"/>
    </row>
    <row r="30" spans="1:67" s="5" customFormat="1" x14ac:dyDescent="0.25">
      <c r="A30" s="1347"/>
      <c r="B30" s="1261"/>
      <c r="C30" s="57" t="s">
        <v>300</v>
      </c>
      <c r="D30" s="91">
        <v>2</v>
      </c>
      <c r="E30" s="85" t="s">
        <v>299</v>
      </c>
      <c r="F30" s="60">
        <f t="shared" si="1"/>
        <v>94</v>
      </c>
      <c r="G30" s="459"/>
      <c r="H30" s="460"/>
      <c r="I30" s="460"/>
      <c r="J30" s="460"/>
      <c r="K30" s="461"/>
      <c r="L30" s="494"/>
      <c r="M30" s="128">
        <f>2</f>
        <v>2</v>
      </c>
      <c r="N30" s="173">
        <f>2</f>
        <v>2</v>
      </c>
      <c r="O30" s="177">
        <f>2</f>
        <v>2</v>
      </c>
      <c r="P30" s="159">
        <f>2</f>
        <v>2</v>
      </c>
      <c r="Q30" s="173">
        <f>2</f>
        <v>2</v>
      </c>
      <c r="R30" s="128">
        <f>2</f>
        <v>2</v>
      </c>
      <c r="S30" s="159">
        <f>2</f>
        <v>2</v>
      </c>
      <c r="T30" s="173">
        <f>2</f>
        <v>2</v>
      </c>
      <c r="U30" s="128">
        <f>2</f>
        <v>2</v>
      </c>
      <c r="V30" s="173">
        <f>2</f>
        <v>2</v>
      </c>
      <c r="W30" s="176">
        <f>2</f>
        <v>2</v>
      </c>
      <c r="X30" s="159">
        <f>2</f>
        <v>2</v>
      </c>
      <c r="Y30" s="173">
        <f>2</f>
        <v>2</v>
      </c>
      <c r="Z30" s="128">
        <f>2</f>
        <v>2</v>
      </c>
      <c r="AA30" s="159">
        <f>2</f>
        <v>2</v>
      </c>
      <c r="AB30" s="173">
        <f>2</f>
        <v>2</v>
      </c>
      <c r="AC30" s="159">
        <f>2</f>
        <v>2</v>
      </c>
      <c r="AD30" s="174">
        <f>2</f>
        <v>2</v>
      </c>
      <c r="AE30" s="174">
        <f>2</f>
        <v>2</v>
      </c>
      <c r="AF30" s="996">
        <f>2</f>
        <v>2</v>
      </c>
      <c r="AG30" s="159">
        <f>2</f>
        <v>2</v>
      </c>
      <c r="AH30" s="173">
        <f>2</f>
        <v>2</v>
      </c>
      <c r="AI30" s="128">
        <f>2</f>
        <v>2</v>
      </c>
      <c r="AJ30" s="159">
        <f>2</f>
        <v>2</v>
      </c>
      <c r="AK30" s="173">
        <f>2</f>
        <v>2</v>
      </c>
      <c r="AL30" s="128">
        <f>2</f>
        <v>2</v>
      </c>
      <c r="AM30" s="159">
        <f>2</f>
        <v>2</v>
      </c>
      <c r="AN30" s="173">
        <f>2</f>
        <v>2</v>
      </c>
      <c r="AO30" s="128">
        <f>2</f>
        <v>2</v>
      </c>
      <c r="AP30" s="159">
        <f>2</f>
        <v>2</v>
      </c>
      <c r="AQ30" s="128">
        <f>2</f>
        <v>2</v>
      </c>
      <c r="AR30" s="128">
        <f>2</f>
        <v>2</v>
      </c>
      <c r="AS30" s="159">
        <f>2</f>
        <v>2</v>
      </c>
      <c r="AT30" s="128">
        <f>2</f>
        <v>2</v>
      </c>
      <c r="AU30" s="159">
        <f>2</f>
        <v>2</v>
      </c>
      <c r="AV30" s="128">
        <f>2</f>
        <v>2</v>
      </c>
      <c r="AW30" s="128">
        <f>2</f>
        <v>2</v>
      </c>
      <c r="AX30" s="173">
        <f>2</f>
        <v>2</v>
      </c>
      <c r="AY30" s="128">
        <f>2</f>
        <v>2</v>
      </c>
      <c r="AZ30" s="159">
        <f>2</f>
        <v>2</v>
      </c>
      <c r="BA30" s="174">
        <f>2</f>
        <v>2</v>
      </c>
      <c r="BB30" s="128">
        <f>2</f>
        <v>2</v>
      </c>
      <c r="BC30" s="173">
        <f>2</f>
        <v>2</v>
      </c>
      <c r="BD30" s="128">
        <f>2</f>
        <v>2</v>
      </c>
      <c r="BE30" s="159">
        <f>2</f>
        <v>2</v>
      </c>
      <c r="BF30" s="173">
        <f>2</f>
        <v>2</v>
      </c>
      <c r="BG30" s="175">
        <f>2</f>
        <v>2</v>
      </c>
      <c r="BH30" s="175"/>
      <c r="BK30" s="5">
        <v>120</v>
      </c>
      <c r="BL30" s="950" t="b">
        <f t="shared" si="0"/>
        <v>0</v>
      </c>
      <c r="BO30" s="950"/>
    </row>
    <row r="31" spans="1:67" s="45" customFormat="1" x14ac:dyDescent="0.25">
      <c r="A31" s="1347"/>
      <c r="B31" s="1261"/>
      <c r="C31" s="69" t="s">
        <v>420</v>
      </c>
      <c r="D31" s="91">
        <v>4</v>
      </c>
      <c r="E31" s="85" t="s">
        <v>1171</v>
      </c>
      <c r="F31" s="62">
        <f t="shared" si="1"/>
        <v>47</v>
      </c>
      <c r="G31" s="1091"/>
      <c r="H31" s="1092"/>
      <c r="I31" s="1092"/>
      <c r="J31" s="1092"/>
      <c r="K31" s="1093"/>
      <c r="L31" s="1094"/>
      <c r="M31" s="131">
        <f>1</f>
        <v>1</v>
      </c>
      <c r="N31" s="196">
        <f>1</f>
        <v>1</v>
      </c>
      <c r="O31" s="200">
        <f>1</f>
        <v>1</v>
      </c>
      <c r="P31" s="165">
        <f>1</f>
        <v>1</v>
      </c>
      <c r="Q31" s="196">
        <f>1</f>
        <v>1</v>
      </c>
      <c r="R31" s="131">
        <f>1</f>
        <v>1</v>
      </c>
      <c r="S31" s="165">
        <f>1</f>
        <v>1</v>
      </c>
      <c r="T31" s="196">
        <f>1</f>
        <v>1</v>
      </c>
      <c r="U31" s="131">
        <f>1</f>
        <v>1</v>
      </c>
      <c r="V31" s="196">
        <f>1</f>
        <v>1</v>
      </c>
      <c r="W31" s="199">
        <f>1</f>
        <v>1</v>
      </c>
      <c r="X31" s="165">
        <f>1</f>
        <v>1</v>
      </c>
      <c r="Y31" s="196">
        <f>1</f>
        <v>1</v>
      </c>
      <c r="Z31" s="131">
        <f>1</f>
        <v>1</v>
      </c>
      <c r="AA31" s="165">
        <f>1</f>
        <v>1</v>
      </c>
      <c r="AB31" s="196">
        <f>1</f>
        <v>1</v>
      </c>
      <c r="AC31" s="165">
        <f>1</f>
        <v>1</v>
      </c>
      <c r="AD31" s="197">
        <f>1</f>
        <v>1</v>
      </c>
      <c r="AE31" s="197">
        <f>1</f>
        <v>1</v>
      </c>
      <c r="AF31" s="997">
        <f>1</f>
        <v>1</v>
      </c>
      <c r="AG31" s="165">
        <f>1</f>
        <v>1</v>
      </c>
      <c r="AH31" s="196">
        <f>1</f>
        <v>1</v>
      </c>
      <c r="AI31" s="131">
        <f>1</f>
        <v>1</v>
      </c>
      <c r="AJ31" s="165">
        <f>1</f>
        <v>1</v>
      </c>
      <c r="AK31" s="196">
        <f>1</f>
        <v>1</v>
      </c>
      <c r="AL31" s="131">
        <f>1</f>
        <v>1</v>
      </c>
      <c r="AM31" s="165">
        <f>1</f>
        <v>1</v>
      </c>
      <c r="AN31" s="196">
        <f>1</f>
        <v>1</v>
      </c>
      <c r="AO31" s="131">
        <f>1</f>
        <v>1</v>
      </c>
      <c r="AP31" s="165">
        <f>1</f>
        <v>1</v>
      </c>
      <c r="AQ31" s="131">
        <f>1</f>
        <v>1</v>
      </c>
      <c r="AR31" s="131">
        <f>1</f>
        <v>1</v>
      </c>
      <c r="AS31" s="165">
        <f>1</f>
        <v>1</v>
      </c>
      <c r="AT31" s="131">
        <f>1</f>
        <v>1</v>
      </c>
      <c r="AU31" s="165">
        <f>1</f>
        <v>1</v>
      </c>
      <c r="AV31" s="131">
        <f>1</f>
        <v>1</v>
      </c>
      <c r="AW31" s="131">
        <f>1</f>
        <v>1</v>
      </c>
      <c r="AX31" s="196">
        <f>1</f>
        <v>1</v>
      </c>
      <c r="AY31" s="131">
        <f>1</f>
        <v>1</v>
      </c>
      <c r="AZ31" s="165">
        <f>1</f>
        <v>1</v>
      </c>
      <c r="BA31" s="197">
        <f>1</f>
        <v>1</v>
      </c>
      <c r="BB31" s="131">
        <f>1</f>
        <v>1</v>
      </c>
      <c r="BC31" s="196">
        <f>1</f>
        <v>1</v>
      </c>
      <c r="BD31" s="131">
        <f>1</f>
        <v>1</v>
      </c>
      <c r="BE31" s="165">
        <f>1</f>
        <v>1</v>
      </c>
      <c r="BF31" s="196">
        <f>1</f>
        <v>1</v>
      </c>
      <c r="BG31" s="198">
        <f>1</f>
        <v>1</v>
      </c>
      <c r="BH31" s="198"/>
      <c r="BK31" s="45">
        <v>60</v>
      </c>
      <c r="BL31" s="950" t="b">
        <f t="shared" si="0"/>
        <v>0</v>
      </c>
      <c r="BO31" s="950"/>
    </row>
    <row r="32" spans="1:67" s="45" customFormat="1" ht="15.75" thickBot="1" x14ac:dyDescent="0.3">
      <c r="A32" s="1348"/>
      <c r="B32" s="1340"/>
      <c r="C32" s="67" t="s">
        <v>510</v>
      </c>
      <c r="D32" s="92">
        <v>3</v>
      </c>
      <c r="E32" s="116" t="s">
        <v>511</v>
      </c>
      <c r="F32" s="68">
        <f t="shared" si="1"/>
        <v>9</v>
      </c>
      <c r="G32" s="444"/>
      <c r="H32" s="445"/>
      <c r="I32" s="445"/>
      <c r="J32" s="445"/>
      <c r="K32" s="446"/>
      <c r="L32" s="489"/>
      <c r="M32" s="124">
        <f>IF(
             AND(VLOOKUP(M$2,'TIS Site Config'!$A$3:$AQ$51,5,FALSE)="Core",
              VLOOKUP(M$2,'TIS Site Config'!$A$3:$AQ$51,8,FALSE)="Yes Power, Yes Fiber"),
                              1,0)</f>
        <v>0</v>
      </c>
      <c r="N32" s="191">
        <f>IF(
             AND(VLOOKUP(N$2,'TIS Site Config'!$A$3:$AQ$51,5,FALSE)="Core",
              VLOOKUP(N$2,'TIS Site Config'!$A$3:$AQ$51,8,FALSE)="Yes Power, Yes Fiber"),
                              1,0)</f>
        <v>0</v>
      </c>
      <c r="O32" s="195">
        <f>IF(
             AND(VLOOKUP(O$2,'TIS Site Config'!$A$3:$AQ$51,5,FALSE)="Core",
              VLOOKUP(O$2,'TIS Site Config'!$A$3:$AQ$51,8,FALSE)="Yes Power, Yes Fiber"),
                              1,0)</f>
        <v>0</v>
      </c>
      <c r="P32" s="190">
        <f>IF(
             AND(VLOOKUP(P$2,'TIS Site Config'!$A$3:$AQ$51,5,FALSE)="Core",
              VLOOKUP(P$2,'TIS Site Config'!$A$3:$AQ$51,8,FALSE)="Yes Power, Yes Fiber"),
                              1,0)</f>
        <v>0</v>
      </c>
      <c r="Q32" s="191">
        <f>IF(
             AND(VLOOKUP(Q$2,'TIS Site Config'!$A$3:$AQ$51,5,FALSE)="Core",
              VLOOKUP(Q$2,'TIS Site Config'!$A$3:$AQ$51,8,FALSE)="Yes Power, Yes Fiber"),
                              1,0)</f>
        <v>0</v>
      </c>
      <c r="R32" s="124">
        <f>IF(
             AND(VLOOKUP(R$2,'TIS Site Config'!$A$3:$AQ$51,5,FALSE)="Core",
              VLOOKUP(R$2,'TIS Site Config'!$A$3:$AQ$51,8,FALSE)="Yes Power, Yes Fiber"),
                              1,0)</f>
        <v>0</v>
      </c>
      <c r="S32" s="190">
        <f>IF(
             AND(VLOOKUP(S$2,'TIS Site Config'!$A$3:$AQ$51,5,FALSE)="Core",
              VLOOKUP(S$2,'TIS Site Config'!$A$3:$AQ$51,8,FALSE)="Yes Power, Yes Fiber"),
                              1,0)</f>
        <v>0</v>
      </c>
      <c r="T32" s="191">
        <f>IF(
             AND(VLOOKUP(T$2,'TIS Site Config'!$A$3:$AQ$51,5,FALSE)="Core",
              VLOOKUP(T$2,'TIS Site Config'!$A$3:$AQ$51,8,FALSE)="Yes Power, Yes Fiber"),
                              1,0)</f>
        <v>0</v>
      </c>
      <c r="U32" s="124">
        <f>IF(
             AND(VLOOKUP(U$2,'TIS Site Config'!$A$3:$AQ$51,5,FALSE)="Core",
              VLOOKUP(U$2,'TIS Site Config'!$A$3:$AQ$51,8,FALSE)="Yes Power, Yes Fiber"),
                              1,0)</f>
        <v>0</v>
      </c>
      <c r="V32" s="191">
        <f>IF(
             AND(VLOOKUP(V$2,'TIS Site Config'!$A$3:$AQ$51,5,FALSE)="Core",
              VLOOKUP(V$2,'TIS Site Config'!$A$3:$AQ$51,8,FALSE)="Yes Power, Yes Fiber"),
                              1,0)</f>
        <v>0</v>
      </c>
      <c r="W32" s="194">
        <f>IF(
             AND(VLOOKUP(W$2,'TIS Site Config'!$A$3:$AQ$51,5,FALSE)="Core",
              VLOOKUP(W$2,'TIS Site Config'!$A$3:$AQ$51,8,FALSE)="Yes Power, Yes Fiber"),
                              1,0)</f>
        <v>0</v>
      </c>
      <c r="X32" s="190">
        <f>IF(
             AND(VLOOKUP(X$2,'TIS Site Config'!$A$3:$AQ$51,5,FALSE)="Core",
              VLOOKUP(X$2,'TIS Site Config'!$A$3:$AQ$51,8,FALSE)="Yes Power, Yes Fiber"),
                              1,0)</f>
        <v>0</v>
      </c>
      <c r="Y32" s="191">
        <f>IF(
             AND(VLOOKUP(Y$2,'TIS Site Config'!$A$3:$AQ$51,5,FALSE)="Core",
              VLOOKUP(Y$2,'TIS Site Config'!$A$3:$AQ$51,8,FALSE)="Yes Power, Yes Fiber"),
                              1,0)</f>
        <v>0</v>
      </c>
      <c r="Z32" s="124">
        <f>IF(
             AND(VLOOKUP(Z$2,'TIS Site Config'!$A$3:$AQ$51,5,FALSE)="Core",
              VLOOKUP(Z$2,'TIS Site Config'!$A$3:$AQ$51,8,FALSE)="Yes Power, Yes Fiber"),
                              1,0)</f>
        <v>1</v>
      </c>
      <c r="AA32" s="190">
        <f>IF(
             AND(VLOOKUP(AA$2,'TIS Site Config'!$A$3:$AQ$51,5,FALSE)="Core",
              VLOOKUP(AA$2,'TIS Site Config'!$A$3:$AQ$51,8,FALSE)="Yes Power, Yes Fiber"),
                              1,0)</f>
        <v>0</v>
      </c>
      <c r="AB32" s="191">
        <f>IF(
             AND(VLOOKUP(AB$2,'TIS Site Config'!$A$3:$AQ$51,5,FALSE)="Core",
              VLOOKUP(AB$2,'TIS Site Config'!$A$3:$AQ$51,8,FALSE)="Yes Power, Yes Fiber"),
                              1,0)</f>
        <v>0</v>
      </c>
      <c r="AC32" s="190">
        <f>IF(
             AND(VLOOKUP(AC$2,'TIS Site Config'!$A$3:$AQ$51,5,FALSE)="Core",
              VLOOKUP(AC$2,'TIS Site Config'!$A$3:$AQ$51,8,FALSE)="Yes Power, Yes Fiber"),
                              1,0)</f>
        <v>0</v>
      </c>
      <c r="AD32" s="192">
        <f>IF(
             AND(VLOOKUP(AD$2,'TIS Site Config'!$A$3:$AQ$51,5,FALSE)="Core",
              VLOOKUP(AD$2,'TIS Site Config'!$A$3:$AQ$51,8,FALSE)="Yes Power, Yes Fiber"),
                              1,0)</f>
        <v>0</v>
      </c>
      <c r="AE32" s="192">
        <f>IF(
             AND(VLOOKUP(AE$2,'TIS Site Config'!$A$3:$AQ$51,5,FALSE)="Core",
              VLOOKUP(AE$2,'TIS Site Config'!$A$3:$AQ$51,8,FALSE)="Yes Power, Yes Fiber"),
                              1,0)</f>
        <v>0</v>
      </c>
      <c r="AF32" s="989">
        <f>IF(
             AND(VLOOKUP(AF$2,'TIS Site Config'!$A$3:$AQ$51,5,FALSE)="Core",
              VLOOKUP(AF$2,'TIS Site Config'!$A$3:$AQ$51,8,FALSE)="Yes Power, Yes Fiber"),
                              1,0)</f>
        <v>0</v>
      </c>
      <c r="AG32" s="190">
        <f>IF(
             AND(VLOOKUP(AG$2,'TIS Site Config'!$A$3:$AQ$51,5,FALSE)="Core",
              VLOOKUP(AG$2,'TIS Site Config'!$A$3:$AQ$51,8,FALSE)="Yes Power, Yes Fiber"),
                              1,0)</f>
        <v>0</v>
      </c>
      <c r="AH32" s="191">
        <f>IF(
             AND(VLOOKUP(AH$2,'TIS Site Config'!$A$3:$AQ$51,5,FALSE)="Core",
              VLOOKUP(AH$2,'TIS Site Config'!$A$3:$AQ$51,8,FALSE)="Yes Power, Yes Fiber"),
                              1,0)</f>
        <v>0</v>
      </c>
      <c r="AI32" s="124">
        <f>IF(
             AND(VLOOKUP(AI$2,'TIS Site Config'!$A$3:$AQ$51,5,FALSE)="Core",
              VLOOKUP(AI$2,'TIS Site Config'!$A$3:$AQ$51,8,FALSE)="Yes Power, Yes Fiber"),
                              1,0)</f>
        <v>1</v>
      </c>
      <c r="AJ32" s="190">
        <f>IF(
             AND(VLOOKUP(AJ$2,'TIS Site Config'!$A$3:$AQ$51,5,FALSE)="Core",
              VLOOKUP(AJ$2,'TIS Site Config'!$A$3:$AQ$51,8,FALSE)="Yes Power, Yes Fiber"),
                              1,0)</f>
        <v>0</v>
      </c>
      <c r="AK32" s="191">
        <f>IF(
             AND(VLOOKUP(AK$2,'TIS Site Config'!$A$3:$AQ$51,5,FALSE)="Core",
              VLOOKUP(AK$2,'TIS Site Config'!$A$3:$AQ$51,8,FALSE)="Yes Power, Yes Fiber"),
                              1,0)</f>
        <v>0</v>
      </c>
      <c r="AL32" s="124">
        <f>IF(
             AND(VLOOKUP(AL$2,'TIS Site Config'!$A$3:$AQ$51,5,FALSE)="Core",
              VLOOKUP(AL$2,'TIS Site Config'!$A$3:$AQ$51,8,FALSE)="Yes Power, Yes Fiber"),
                              1,0)</f>
        <v>1</v>
      </c>
      <c r="AM32" s="190">
        <f>IF(
             AND(VLOOKUP(AM$2,'TIS Site Config'!$A$3:$AQ$51,5,FALSE)="Core",
              VLOOKUP(AM$2,'TIS Site Config'!$A$3:$AQ$51,8,FALSE)="Yes Power, Yes Fiber"),
                              1,0)</f>
        <v>0</v>
      </c>
      <c r="AN32" s="191">
        <f>IF(
             AND(VLOOKUP(AN$2,'TIS Site Config'!$A$3:$AQ$51,5,FALSE)="Core",
              VLOOKUP(AN$2,'TIS Site Config'!$A$3:$AQ$51,8,FALSE)="Yes Power, Yes Fiber"),
                              1,0)</f>
        <v>0</v>
      </c>
      <c r="AO32" s="124">
        <f>IF(
             AND(VLOOKUP(AO$2,'TIS Site Config'!$A$3:$AQ$51,5,FALSE)="Core",
              VLOOKUP(AO$2,'TIS Site Config'!$A$3:$AQ$51,8,FALSE)="Yes Power, Yes Fiber"),
                              1,0)</f>
        <v>0</v>
      </c>
      <c r="AP32" s="190">
        <f>IF(
             AND(VLOOKUP(AP$2,'TIS Site Config'!$A$3:$AQ$51,5,FALSE)="Core",
              VLOOKUP(AP$2,'TIS Site Config'!$A$3:$AQ$51,8,FALSE)="Yes Power, Yes Fiber"),
                              1,0)</f>
        <v>0</v>
      </c>
      <c r="AQ32" s="124">
        <f>IF(
             AND(VLOOKUP(AQ$2,'TIS Site Config'!$A$3:$AQ$51,5,FALSE)="Core",
              VLOOKUP(AQ$2,'TIS Site Config'!$A$3:$AQ$51,8,FALSE)="Yes Power, Yes Fiber"),
                              1,0)</f>
        <v>1</v>
      </c>
      <c r="AR32" s="124">
        <f>IF(
             AND(VLOOKUP(AR$2,'TIS Site Config'!$A$3:$AQ$51,5,FALSE)="Core",
              VLOOKUP(AR$2,'TIS Site Config'!$A$3:$AQ$51,8,FALSE)="Yes Power, Yes Fiber"),
                              1,0)</f>
        <v>1</v>
      </c>
      <c r="AS32" s="190">
        <f>IF(
             AND(VLOOKUP(AS$2,'TIS Site Config'!$A$3:$AQ$51,5,FALSE)="Core",
              VLOOKUP(AS$2,'TIS Site Config'!$A$3:$AQ$51,8,FALSE)="Yes Power, Yes Fiber"),
                              1,0)</f>
        <v>0</v>
      </c>
      <c r="AT32" s="124">
        <f>IF(
             AND(VLOOKUP(AT$2,'TIS Site Config'!$A$3:$AQ$51,5,FALSE)="Core",
              VLOOKUP(AT$2,'TIS Site Config'!$A$3:$AQ$51,8,FALSE)="Yes Power, Yes Fiber"),
                              1,0)</f>
        <v>1</v>
      </c>
      <c r="AU32" s="190">
        <f>IF(
             AND(VLOOKUP(AU$2,'TIS Site Config'!$A$3:$AQ$51,5,FALSE)="Core",
              VLOOKUP(AU$2,'TIS Site Config'!$A$3:$AQ$51,8,FALSE)="Yes Power, Yes Fiber"),
                              1,0)</f>
        <v>0</v>
      </c>
      <c r="AV32" s="124">
        <f>IF(
             AND(VLOOKUP(AV$2,'TIS Site Config'!$A$3:$AQ$51,5,FALSE)="Core",
              VLOOKUP(AV$2,'TIS Site Config'!$A$3:$AQ$51,8,FALSE)="Yes Power, Yes Fiber"),
                              1,0)</f>
        <v>1</v>
      </c>
      <c r="AW32" s="124">
        <f>IF(
             AND(VLOOKUP(AW$2,'TIS Site Config'!$A$3:$AQ$51,5,FALSE)="Core",
              VLOOKUP(AW$2,'TIS Site Config'!$A$3:$AQ$51,8,FALSE)="Yes Power, Yes Fiber"),
                              1,0)</f>
        <v>0</v>
      </c>
      <c r="AX32" s="191">
        <f>IF(
             AND(VLOOKUP(AX$2,'TIS Site Config'!$A$3:$AQ$51,5,FALSE)="Core",
              VLOOKUP(AX$2,'TIS Site Config'!$A$3:$AQ$51,8,FALSE)="Yes Power, Yes Fiber"),
                              1,0)</f>
        <v>0</v>
      </c>
      <c r="AY32" s="124">
        <f>IF(
             AND(VLOOKUP(AY$2,'TIS Site Config'!$A$3:$AQ$51,5,FALSE)="Core",
              VLOOKUP(AY$2,'TIS Site Config'!$A$3:$AQ$51,8,FALSE)="Yes Power, Yes Fiber"),
                              1,0)</f>
        <v>1</v>
      </c>
      <c r="AZ32" s="190">
        <f>IF(
             AND(VLOOKUP(AZ$2,'TIS Site Config'!$A$3:$AQ$51,5,FALSE)="Core",
              VLOOKUP(AZ$2,'TIS Site Config'!$A$3:$AQ$51,8,FALSE)="Yes Power, Yes Fiber"),
                              1,0)</f>
        <v>0</v>
      </c>
      <c r="BA32" s="192">
        <f>IF(
             AND(VLOOKUP(BA$2,'TIS Site Config'!$A$3:$AQ$51,5,FALSE)="Core",
              VLOOKUP(BA$2,'TIS Site Config'!$A$3:$AQ$51,8,FALSE)="Yes Power, Yes Fiber"),
                              1,0)</f>
        <v>0</v>
      </c>
      <c r="BB32" s="124">
        <f>IF(
             AND(VLOOKUP(BB$2,'TIS Site Config'!$A$3:$AQ$51,5,FALSE)="Core",
              VLOOKUP(BB$2,'TIS Site Config'!$A$3:$AQ$51,8,FALSE)="Yes Power, Yes Fiber"),
                              1,0)</f>
        <v>1</v>
      </c>
      <c r="BC32" s="191">
        <f>IF(
             AND(VLOOKUP(BC$2,'TIS Site Config'!$A$3:$AQ$51,5,FALSE)="Core",
              VLOOKUP(BC$2,'TIS Site Config'!$A$3:$AQ$51,8,FALSE)="Yes Power, Yes Fiber"),
                              1,0)</f>
        <v>0</v>
      </c>
      <c r="BD32" s="124">
        <f>IF(
             AND(VLOOKUP(BD$2,'TIS Site Config'!$A$3:$AQ$51,5,FALSE)="Core",
              VLOOKUP(BD$2,'TIS Site Config'!$A$3:$AQ$51,8,FALSE)="Yes Power, Yes Fiber"),
                              1,0)</f>
        <v>0</v>
      </c>
      <c r="BE32" s="190">
        <f>IF(
             AND(VLOOKUP(BE$2,'TIS Site Config'!$A$3:$AQ$51,5,FALSE)="Core",
              VLOOKUP(BE$2,'TIS Site Config'!$A$3:$AQ$51,8,FALSE)="Yes Power, Yes Fiber"),
                              1,0)</f>
        <v>0</v>
      </c>
      <c r="BF32" s="191">
        <f>IF(
             AND(VLOOKUP(BF$2,'TIS Site Config'!$A$3:$AQ$51,5,FALSE)="Core",
              VLOOKUP(BF$2,'TIS Site Config'!$A$3:$AQ$51,8,FALSE)="Yes Power, Yes Fiber"),
                              1,0)</f>
        <v>0</v>
      </c>
      <c r="BG32" s="193">
        <f>IF(
             AND(VLOOKUP(BG$2,'TIS Site Config'!$A$3:$AQ$51,5,FALSE)="Core",
              VLOOKUP(BG$2,'TIS Site Config'!$A$3:$AQ$51,8,FALSE)="Yes Power, Yes Fiber"),
                              1,0)</f>
        <v>0</v>
      </c>
      <c r="BH32" s="193">
        <f>IF(
             AND(VLOOKUP(BH$2,'TIS Site Config'!$A$3:$AQ$51,5,FALSE)="Core",
              VLOOKUP(BH$2,'TIS Site Config'!$A$3:$AQ$51,8,FALSE)="Yes Power, Yes Fiber"),
                              1,0)</f>
        <v>1</v>
      </c>
      <c r="BK32" s="45">
        <v>20</v>
      </c>
      <c r="BL32" s="950" t="b">
        <f t="shared" si="0"/>
        <v>0</v>
      </c>
      <c r="BO32" s="950"/>
    </row>
    <row r="33" spans="1:67" s="5" customFormat="1" ht="15.75" thickTop="1" x14ac:dyDescent="0.25">
      <c r="A33" s="22" t="s">
        <v>58</v>
      </c>
      <c r="B33" s="53" t="s">
        <v>16</v>
      </c>
      <c r="C33" s="57" t="s">
        <v>194</v>
      </c>
      <c r="D33" s="90">
        <v>1</v>
      </c>
      <c r="E33" s="340" t="s">
        <v>451</v>
      </c>
      <c r="F33" s="60">
        <f t="shared" si="1"/>
        <v>47</v>
      </c>
      <c r="G33" s="459"/>
      <c r="H33" s="460"/>
      <c r="I33" s="460"/>
      <c r="J33" s="460"/>
      <c r="K33" s="461"/>
      <c r="L33" s="494"/>
      <c r="M33" s="128">
        <f>1</f>
        <v>1</v>
      </c>
      <c r="N33" s="173">
        <f>1</f>
        <v>1</v>
      </c>
      <c r="O33" s="177">
        <f>1</f>
        <v>1</v>
      </c>
      <c r="P33" s="159">
        <f>1</f>
        <v>1</v>
      </c>
      <c r="Q33" s="173">
        <f>1</f>
        <v>1</v>
      </c>
      <c r="R33" s="128">
        <f>1</f>
        <v>1</v>
      </c>
      <c r="S33" s="159">
        <f>1</f>
        <v>1</v>
      </c>
      <c r="T33" s="173">
        <f>1</f>
        <v>1</v>
      </c>
      <c r="U33" s="128">
        <f>1</f>
        <v>1</v>
      </c>
      <c r="V33" s="173">
        <f>1</f>
        <v>1</v>
      </c>
      <c r="W33" s="176">
        <f>1</f>
        <v>1</v>
      </c>
      <c r="X33" s="159">
        <f>1</f>
        <v>1</v>
      </c>
      <c r="Y33" s="173">
        <f>1</f>
        <v>1</v>
      </c>
      <c r="Z33" s="128">
        <f>1</f>
        <v>1</v>
      </c>
      <c r="AA33" s="159">
        <f>1</f>
        <v>1</v>
      </c>
      <c r="AB33" s="173">
        <f>1</f>
        <v>1</v>
      </c>
      <c r="AC33" s="159">
        <f>1</f>
        <v>1</v>
      </c>
      <c r="AD33" s="174">
        <f>1</f>
        <v>1</v>
      </c>
      <c r="AE33" s="174">
        <f>1</f>
        <v>1</v>
      </c>
      <c r="AF33" s="996">
        <f>1</f>
        <v>1</v>
      </c>
      <c r="AG33" s="159">
        <f>1</f>
        <v>1</v>
      </c>
      <c r="AH33" s="173">
        <f>1</f>
        <v>1</v>
      </c>
      <c r="AI33" s="128">
        <f>1</f>
        <v>1</v>
      </c>
      <c r="AJ33" s="159">
        <f>1</f>
        <v>1</v>
      </c>
      <c r="AK33" s="173">
        <f>1</f>
        <v>1</v>
      </c>
      <c r="AL33" s="128">
        <f>1</f>
        <v>1</v>
      </c>
      <c r="AM33" s="159">
        <f>1</f>
        <v>1</v>
      </c>
      <c r="AN33" s="173">
        <f>1</f>
        <v>1</v>
      </c>
      <c r="AO33" s="128">
        <f>1</f>
        <v>1</v>
      </c>
      <c r="AP33" s="159">
        <f>1</f>
        <v>1</v>
      </c>
      <c r="AQ33" s="128">
        <f>1</f>
        <v>1</v>
      </c>
      <c r="AR33" s="128">
        <f>1</f>
        <v>1</v>
      </c>
      <c r="AS33" s="159">
        <f>1</f>
        <v>1</v>
      </c>
      <c r="AT33" s="128">
        <f>1</f>
        <v>1</v>
      </c>
      <c r="AU33" s="159">
        <f>1</f>
        <v>1</v>
      </c>
      <c r="AV33" s="128">
        <f>1</f>
        <v>1</v>
      </c>
      <c r="AW33" s="128">
        <f>1</f>
        <v>1</v>
      </c>
      <c r="AX33" s="173">
        <f>1</f>
        <v>1</v>
      </c>
      <c r="AY33" s="128">
        <f>1</f>
        <v>1</v>
      </c>
      <c r="AZ33" s="159">
        <f>1</f>
        <v>1</v>
      </c>
      <c r="BA33" s="174">
        <f>1</f>
        <v>1</v>
      </c>
      <c r="BB33" s="128">
        <f>1</f>
        <v>1</v>
      </c>
      <c r="BC33" s="173">
        <f>1</f>
        <v>1</v>
      </c>
      <c r="BD33" s="128">
        <f>1</f>
        <v>1</v>
      </c>
      <c r="BE33" s="159">
        <f>1</f>
        <v>1</v>
      </c>
      <c r="BF33" s="173">
        <f>1</f>
        <v>1</v>
      </c>
      <c r="BG33" s="175">
        <f>1</f>
        <v>1</v>
      </c>
      <c r="BH33" s="175">
        <f>1</f>
        <v>1</v>
      </c>
      <c r="BK33" s="5">
        <v>60</v>
      </c>
      <c r="BL33" s="950" t="b">
        <f t="shared" si="0"/>
        <v>0</v>
      </c>
      <c r="BO33" s="950"/>
    </row>
    <row r="34" spans="1:67" s="5" customFormat="1" x14ac:dyDescent="0.25">
      <c r="A34" s="17" t="s">
        <v>59</v>
      </c>
      <c r="B34" s="52" t="s">
        <v>16</v>
      </c>
      <c r="C34" s="69" t="s">
        <v>195</v>
      </c>
      <c r="D34" s="91">
        <v>2</v>
      </c>
      <c r="E34" s="85" t="s">
        <v>452</v>
      </c>
      <c r="F34" s="62">
        <f t="shared" si="1"/>
        <v>47</v>
      </c>
      <c r="G34" s="450"/>
      <c r="H34" s="451"/>
      <c r="I34" s="451"/>
      <c r="J34" s="451"/>
      <c r="K34" s="452"/>
      <c r="L34" s="491"/>
      <c r="M34" s="131">
        <f>1</f>
        <v>1</v>
      </c>
      <c r="N34" s="196">
        <f>1</f>
        <v>1</v>
      </c>
      <c r="O34" s="200">
        <f>1</f>
        <v>1</v>
      </c>
      <c r="P34" s="165">
        <f>1</f>
        <v>1</v>
      </c>
      <c r="Q34" s="196">
        <f>1</f>
        <v>1</v>
      </c>
      <c r="R34" s="131">
        <f>1</f>
        <v>1</v>
      </c>
      <c r="S34" s="165">
        <f>1</f>
        <v>1</v>
      </c>
      <c r="T34" s="196">
        <f>1</f>
        <v>1</v>
      </c>
      <c r="U34" s="131">
        <f>1</f>
        <v>1</v>
      </c>
      <c r="V34" s="196">
        <f>1</f>
        <v>1</v>
      </c>
      <c r="W34" s="199">
        <f>1</f>
        <v>1</v>
      </c>
      <c r="X34" s="165">
        <f>1</f>
        <v>1</v>
      </c>
      <c r="Y34" s="196">
        <f>1</f>
        <v>1</v>
      </c>
      <c r="Z34" s="131">
        <f>1</f>
        <v>1</v>
      </c>
      <c r="AA34" s="165">
        <f>1</f>
        <v>1</v>
      </c>
      <c r="AB34" s="196">
        <f>1</f>
        <v>1</v>
      </c>
      <c r="AC34" s="165">
        <f>1</f>
        <v>1</v>
      </c>
      <c r="AD34" s="197">
        <f>1</f>
        <v>1</v>
      </c>
      <c r="AE34" s="197">
        <f>1</f>
        <v>1</v>
      </c>
      <c r="AF34" s="997">
        <f>1</f>
        <v>1</v>
      </c>
      <c r="AG34" s="165">
        <f>1</f>
        <v>1</v>
      </c>
      <c r="AH34" s="196">
        <f>1</f>
        <v>1</v>
      </c>
      <c r="AI34" s="131">
        <f>1</f>
        <v>1</v>
      </c>
      <c r="AJ34" s="165">
        <f>1</f>
        <v>1</v>
      </c>
      <c r="AK34" s="196">
        <f>1</f>
        <v>1</v>
      </c>
      <c r="AL34" s="131">
        <f>1</f>
        <v>1</v>
      </c>
      <c r="AM34" s="165">
        <f>1</f>
        <v>1</v>
      </c>
      <c r="AN34" s="196">
        <f>1</f>
        <v>1</v>
      </c>
      <c r="AO34" s="131">
        <f>1</f>
        <v>1</v>
      </c>
      <c r="AP34" s="165">
        <f>1</f>
        <v>1</v>
      </c>
      <c r="AQ34" s="131">
        <f>1</f>
        <v>1</v>
      </c>
      <c r="AR34" s="131">
        <f>1</f>
        <v>1</v>
      </c>
      <c r="AS34" s="165">
        <f>1</f>
        <v>1</v>
      </c>
      <c r="AT34" s="131">
        <f>1</f>
        <v>1</v>
      </c>
      <c r="AU34" s="165">
        <f>1</f>
        <v>1</v>
      </c>
      <c r="AV34" s="131">
        <f>1</f>
        <v>1</v>
      </c>
      <c r="AW34" s="131">
        <f>1</f>
        <v>1</v>
      </c>
      <c r="AX34" s="196">
        <f>1</f>
        <v>1</v>
      </c>
      <c r="AY34" s="131">
        <f>1</f>
        <v>1</v>
      </c>
      <c r="AZ34" s="165">
        <f>1</f>
        <v>1</v>
      </c>
      <c r="BA34" s="197">
        <f>1</f>
        <v>1</v>
      </c>
      <c r="BB34" s="131">
        <f>1</f>
        <v>1</v>
      </c>
      <c r="BC34" s="196">
        <f>1</f>
        <v>1</v>
      </c>
      <c r="BD34" s="131">
        <f>1</f>
        <v>1</v>
      </c>
      <c r="BE34" s="165">
        <f>1</f>
        <v>1</v>
      </c>
      <c r="BF34" s="196">
        <f>1</f>
        <v>1</v>
      </c>
      <c r="BG34" s="198">
        <f>1</f>
        <v>1</v>
      </c>
      <c r="BH34" s="198">
        <f>1</f>
        <v>1</v>
      </c>
      <c r="BK34" s="5">
        <v>60</v>
      </c>
      <c r="BL34" s="950" t="b">
        <f t="shared" ref="BL34:BL45" si="3">F34=BK34</f>
        <v>0</v>
      </c>
      <c r="BO34" s="950"/>
    </row>
    <row r="35" spans="1:67" s="951" customFormat="1" x14ac:dyDescent="0.25">
      <c r="A35" s="1351" t="s">
        <v>60</v>
      </c>
      <c r="B35" s="1353" t="s">
        <v>16</v>
      </c>
      <c r="C35" s="57" t="s">
        <v>1181</v>
      </c>
      <c r="D35" s="97">
        <v>3</v>
      </c>
      <c r="E35" s="114" t="s">
        <v>1182</v>
      </c>
      <c r="F35" s="62">
        <f t="shared" si="1"/>
        <v>5</v>
      </c>
      <c r="G35" s="470"/>
      <c r="H35" s="471"/>
      <c r="I35" s="471"/>
      <c r="J35" s="471"/>
      <c r="K35" s="472"/>
      <c r="L35" s="498"/>
      <c r="M35" s="128">
        <f>IF(VLOOKUP(M$2,'TIS Site Config'!$A$3:$AQ$51,8,FALSE)="No Power, No Fiber",1,0)</f>
        <v>0</v>
      </c>
      <c r="N35" s="173">
        <f>IF(VLOOKUP(N$2,'TIS Site Config'!$A$3:$AQ$51,8,FALSE)="No Power, No Fiber",1,0)</f>
        <v>0</v>
      </c>
      <c r="O35" s="177">
        <f>IF(VLOOKUP(O$2,'TIS Site Config'!$A$3:$AQ$51,8,FALSE)="No Power, No Fiber",1,0)</f>
        <v>0</v>
      </c>
      <c r="P35" s="159">
        <f>IF(VLOOKUP(P$2,'TIS Site Config'!$A$3:$AQ$51,8,FALSE)="No Power, No Fiber",1,0)</f>
        <v>0</v>
      </c>
      <c r="Q35" s="173">
        <f>IF(VLOOKUP(Q$2,'TIS Site Config'!$A$3:$AQ$51,8,FALSE)="No Power, No Fiber",1,0)</f>
        <v>0</v>
      </c>
      <c r="R35" s="128">
        <f>IF(VLOOKUP(R$2,'TIS Site Config'!$A$3:$AQ$51,8,FALSE)="No Power, No Fiber",1,0)</f>
        <v>0</v>
      </c>
      <c r="S35" s="159">
        <f>IF(VLOOKUP(S$2,'TIS Site Config'!$A$3:$AQ$51,8,FALSE)="No Power, No Fiber",1,0)</f>
        <v>0</v>
      </c>
      <c r="T35" s="173">
        <f>IF(VLOOKUP(T$2,'TIS Site Config'!$A$3:$AQ$51,8,FALSE)="No Power, No Fiber",1,0)</f>
        <v>0</v>
      </c>
      <c r="U35" s="128">
        <f>IF(VLOOKUP(U$2,'TIS Site Config'!$A$3:$AQ$51,8,FALSE)="No Power, No Fiber",1,0)</f>
        <v>0</v>
      </c>
      <c r="V35" s="173">
        <f>IF(VLOOKUP(V$2,'TIS Site Config'!$A$3:$AQ$51,8,FALSE)="No Power, No Fiber",1,0)</f>
        <v>0</v>
      </c>
      <c r="W35" s="176">
        <f>IF(VLOOKUP(W$2,'TIS Site Config'!$A$3:$AQ$51,8,FALSE)="No Power, No Fiber",1,0)</f>
        <v>0</v>
      </c>
      <c r="X35" s="159">
        <f>IF(VLOOKUP(X$2,'TIS Site Config'!$A$3:$AQ$51,8,FALSE)="No Power, No Fiber",1,0)</f>
        <v>0</v>
      </c>
      <c r="Y35" s="173">
        <f>IF(VLOOKUP(Y$2,'TIS Site Config'!$A$3:$AQ$51,8,FALSE)="No Power, No Fiber",1,0)</f>
        <v>0</v>
      </c>
      <c r="Z35" s="128">
        <f>IF(VLOOKUP(Z$2,'TIS Site Config'!$A$3:$AQ$51,8,FALSE)="No Power, No Fiber",1,0)</f>
        <v>0</v>
      </c>
      <c r="AA35" s="159">
        <f>IF(VLOOKUP(AA$2,'TIS Site Config'!$A$3:$AQ$51,8,FALSE)="No Power, No Fiber",1,0)</f>
        <v>0</v>
      </c>
      <c r="AB35" s="173">
        <f>IF(VLOOKUP(AB$2,'TIS Site Config'!$A$3:$AQ$51,8,FALSE)="No Power, No Fiber",1,0)</f>
        <v>0</v>
      </c>
      <c r="AC35" s="159">
        <f>IF(VLOOKUP(AC$2,'TIS Site Config'!$A$3:$AQ$51,8,FALSE)="No Power, No Fiber",1,0)</f>
        <v>1</v>
      </c>
      <c r="AD35" s="174">
        <f>IF(VLOOKUP(AD$2,'TIS Site Config'!$A$3:$AQ$51,8,FALSE)="No Power, No Fiber",1,0)</f>
        <v>0</v>
      </c>
      <c r="AE35" s="174">
        <f>IF(VLOOKUP(AE$2,'TIS Site Config'!$A$3:$AQ$51,8,FALSE)="No Power, No Fiber",1,0)</f>
        <v>0</v>
      </c>
      <c r="AF35" s="996">
        <f>IF(VLOOKUP(AF$2,'TIS Site Config'!$A$3:$AQ$51,8,FALSE)="No Power, No Fiber",1,0)</f>
        <v>1</v>
      </c>
      <c r="AG35" s="159">
        <f>IF(VLOOKUP(AG$2,'TIS Site Config'!$A$3:$AQ$51,8,FALSE)="No Power, No Fiber",1,0)</f>
        <v>0</v>
      </c>
      <c r="AH35" s="173">
        <f>IF(VLOOKUP(AH$2,'TIS Site Config'!$A$3:$AQ$51,8,FALSE)="No Power, No Fiber",1,0)</f>
        <v>0</v>
      </c>
      <c r="AI35" s="128">
        <f>IF(VLOOKUP(AI$2,'TIS Site Config'!$A$3:$AQ$51,8,FALSE)="No Power, No Fiber",1,0)</f>
        <v>0</v>
      </c>
      <c r="AJ35" s="159">
        <f>IF(VLOOKUP(AJ$2,'TIS Site Config'!$A$3:$AQ$51,8,FALSE)="No Power, No Fiber",1,0)</f>
        <v>0</v>
      </c>
      <c r="AK35" s="173">
        <f>IF(VLOOKUP(AK$2,'TIS Site Config'!$A$3:$AQ$51,8,FALSE)="No Power, No Fiber",1,0)</f>
        <v>0</v>
      </c>
      <c r="AL35" s="128">
        <f>IF(VLOOKUP(AL$2,'TIS Site Config'!$A$3:$AQ$51,8,FALSE)="No Power, No Fiber",1,0)</f>
        <v>0</v>
      </c>
      <c r="AM35" s="159">
        <f>IF(VLOOKUP(AM$2,'TIS Site Config'!$A$3:$AQ$51,8,FALSE)="No Power, No Fiber",1,0)</f>
        <v>0</v>
      </c>
      <c r="AN35" s="173">
        <f>IF(VLOOKUP(AN$2,'TIS Site Config'!$A$3:$AQ$51,8,FALSE)="No Power, No Fiber",1,0)</f>
        <v>0</v>
      </c>
      <c r="AO35" s="128">
        <f>IF(VLOOKUP(AO$2,'TIS Site Config'!$A$3:$AQ$51,8,FALSE)="No Power, No Fiber",1,0)</f>
        <v>1</v>
      </c>
      <c r="AP35" s="159">
        <f>IF(VLOOKUP(AP$2,'TIS Site Config'!$A$3:$AQ$51,8,FALSE)="No Power, No Fiber",1,0)</f>
        <v>0</v>
      </c>
      <c r="AQ35" s="128">
        <f>IF(VLOOKUP(AQ$2,'TIS Site Config'!$A$3:$AQ$51,8,FALSE)="No Power, No Fiber",1,0)</f>
        <v>0</v>
      </c>
      <c r="AR35" s="128">
        <f>IF(VLOOKUP(AR$2,'TIS Site Config'!$A$3:$AQ$51,8,FALSE)="No Power, No Fiber",1,0)</f>
        <v>0</v>
      </c>
      <c r="AS35" s="159">
        <f>IF(VLOOKUP(AS$2,'TIS Site Config'!$A$3:$AQ$51,8,FALSE)="No Power, No Fiber",1,0)</f>
        <v>0</v>
      </c>
      <c r="AT35" s="128">
        <f>IF(VLOOKUP(AT$2,'TIS Site Config'!$A$3:$AQ$51,8,FALSE)="No Power, No Fiber",1,0)</f>
        <v>0</v>
      </c>
      <c r="AU35" s="159">
        <f>IF(VLOOKUP(AU$2,'TIS Site Config'!$A$3:$AQ$51,8,FALSE)="No Power, No Fiber",1,0)</f>
        <v>0</v>
      </c>
      <c r="AV35" s="128">
        <f>IF(VLOOKUP(AV$2,'TIS Site Config'!$A$3:$AQ$51,8,FALSE)="No Power, No Fiber",1,0)</f>
        <v>0</v>
      </c>
      <c r="AW35" s="128">
        <f>IF(VLOOKUP(AW$2,'TIS Site Config'!$A$3:$AQ$51,8,FALSE)="No Power, No Fiber",1,0)</f>
        <v>1</v>
      </c>
      <c r="AX35" s="173">
        <f>IF(VLOOKUP(AX$2,'TIS Site Config'!$A$3:$AQ$51,8,FALSE)="No Power, No Fiber",1,0)</f>
        <v>0</v>
      </c>
      <c r="AY35" s="128">
        <f>IF(VLOOKUP(AY$2,'TIS Site Config'!$A$3:$AQ$51,8,FALSE)="No Power, No Fiber",1,0)</f>
        <v>0</v>
      </c>
      <c r="AZ35" s="159">
        <f>IF(VLOOKUP(AZ$2,'TIS Site Config'!$A$3:$AQ$51,8,FALSE)="No Power, No Fiber",1,0)</f>
        <v>0</v>
      </c>
      <c r="BA35" s="174">
        <f>IF(VLOOKUP(BA$2,'TIS Site Config'!$A$3:$AQ$51,8,FALSE)="No Power, No Fiber",1,0)</f>
        <v>0</v>
      </c>
      <c r="BB35" s="128">
        <f>IF(VLOOKUP(BB$2,'TIS Site Config'!$A$3:$AQ$51,8,FALSE)="No Power, No Fiber",1,0)</f>
        <v>0</v>
      </c>
      <c r="BC35" s="173">
        <f>IF(VLOOKUP(BC$2,'TIS Site Config'!$A$3:$AQ$51,8,FALSE)="No Power, No Fiber",1,0)</f>
        <v>0</v>
      </c>
      <c r="BD35" s="128">
        <f>IF(VLOOKUP(BD$2,'TIS Site Config'!$A$3:$AQ$51,8,FALSE)="No Power, No Fiber",1,0)</f>
        <v>0</v>
      </c>
      <c r="BE35" s="159">
        <f>IF(VLOOKUP(BE$2,'TIS Site Config'!$A$3:$AQ$51,8,FALSE)="No Power, No Fiber",1,0)</f>
        <v>0</v>
      </c>
      <c r="BF35" s="173">
        <f>IF(VLOOKUP(BF$2,'TIS Site Config'!$A$3:$AQ$51,8,FALSE)="No Power, No Fiber",1,0)</f>
        <v>0</v>
      </c>
      <c r="BG35" s="175">
        <f>IF(VLOOKUP(BG$2,'TIS Site Config'!$A$3:$AQ$51,8,FALSE)="No Power, No Fiber",1,0)</f>
        <v>1</v>
      </c>
      <c r="BH35" s="175">
        <f>IF(VLOOKUP(BH$2,'TIS Site Config'!$A$3:$AQ$51,8,FALSE)="No Power, No Fiber",1,0)</f>
        <v>0</v>
      </c>
      <c r="BL35" s="950"/>
      <c r="BO35" s="950"/>
    </row>
    <row r="36" spans="1:67" s="5" customFormat="1" ht="15.75" thickBot="1" x14ac:dyDescent="0.3">
      <c r="A36" s="1352"/>
      <c r="B36" s="1354"/>
      <c r="C36" s="57" t="s">
        <v>379</v>
      </c>
      <c r="D36" s="93">
        <v>3</v>
      </c>
      <c r="E36" s="341" t="s">
        <v>453</v>
      </c>
      <c r="F36" s="286">
        <f t="shared" si="1"/>
        <v>20</v>
      </c>
      <c r="G36" s="470"/>
      <c r="H36" s="471"/>
      <c r="I36" s="471"/>
      <c r="J36" s="471"/>
      <c r="K36" s="472"/>
      <c r="L36" s="498"/>
      <c r="M36" s="128">
        <f>IF(
             VLOOKUP(M$2,'TIS Site Config'!$A$3:$AQ$51,5,FALSE)="Core",
                              1,0)</f>
        <v>1</v>
      </c>
      <c r="N36" s="173">
        <f>IF(
             VLOOKUP(N$2,'TIS Site Config'!$A$3:$AQ$51,5,FALSE)="Core",
                              1,0)</f>
        <v>0</v>
      </c>
      <c r="O36" s="177">
        <f>IF(
             VLOOKUP(O$2,'TIS Site Config'!$A$3:$AQ$51,5,FALSE)="Core",
                              1,0)</f>
        <v>1</v>
      </c>
      <c r="P36" s="159">
        <f>IF(
             VLOOKUP(P$2,'TIS Site Config'!$A$3:$AQ$51,5,FALSE)="Core",
                              1,0)</f>
        <v>0</v>
      </c>
      <c r="Q36" s="173">
        <f>IF(
             VLOOKUP(Q$2,'TIS Site Config'!$A$3:$AQ$51,5,FALSE)="Core",
                              1,0)</f>
        <v>0</v>
      </c>
      <c r="R36" s="128">
        <f>IF(
             VLOOKUP(R$2,'TIS Site Config'!$A$3:$AQ$51,5,FALSE)="Core",
                              1,0)</f>
        <v>1</v>
      </c>
      <c r="S36" s="159">
        <f>IF(
             VLOOKUP(S$2,'TIS Site Config'!$A$3:$AQ$51,5,FALSE)="Core",
                              1,0)</f>
        <v>0</v>
      </c>
      <c r="T36" s="173">
        <f>IF(
             VLOOKUP(T$2,'TIS Site Config'!$A$3:$AQ$51,5,FALSE)="Core",
                              1,0)</f>
        <v>0</v>
      </c>
      <c r="U36" s="128">
        <f>IF(
             VLOOKUP(U$2,'TIS Site Config'!$A$3:$AQ$51,5,FALSE)="Core",
                              1,0)</f>
        <v>1</v>
      </c>
      <c r="V36" s="173">
        <f>IF(
             VLOOKUP(V$2,'TIS Site Config'!$A$3:$AQ$51,5,FALSE)="Core",
                              1,0)</f>
        <v>0</v>
      </c>
      <c r="W36" s="176">
        <f>IF(
             VLOOKUP(W$2,'TIS Site Config'!$A$3:$AQ$51,5,FALSE)="Core",
                              1,0)</f>
        <v>1</v>
      </c>
      <c r="X36" s="159">
        <f>IF(
             VLOOKUP(X$2,'TIS Site Config'!$A$3:$AQ$51,5,FALSE)="Core",
                              1,0)</f>
        <v>0</v>
      </c>
      <c r="Y36" s="173">
        <f>IF(
             VLOOKUP(Y$2,'TIS Site Config'!$A$3:$AQ$51,5,FALSE)="Core",
                              1,0)</f>
        <v>0</v>
      </c>
      <c r="Z36" s="128">
        <f>IF(
             VLOOKUP(Z$2,'TIS Site Config'!$A$3:$AQ$51,5,FALSE)="Core",
                              1,0)</f>
        <v>1</v>
      </c>
      <c r="AA36" s="159">
        <f>IF(
             VLOOKUP(AA$2,'TIS Site Config'!$A$3:$AQ$51,5,FALSE)="Core",
                              1,0)</f>
        <v>0</v>
      </c>
      <c r="AB36" s="173">
        <f>IF(
             VLOOKUP(AB$2,'TIS Site Config'!$A$3:$AQ$51,5,FALSE)="Core",
                              1,0)</f>
        <v>0</v>
      </c>
      <c r="AC36" s="159">
        <f>IF(
             VLOOKUP(AC$2,'TIS Site Config'!$A$3:$AQ$51,5,FALSE)="Core",
                              1,0)</f>
        <v>1</v>
      </c>
      <c r="AD36" s="174">
        <f>IF(
             VLOOKUP(AD$2,'TIS Site Config'!$A$3:$AQ$51,5,FALSE)="Core",
                              1,0)</f>
        <v>0</v>
      </c>
      <c r="AE36" s="174">
        <f>IF(
             VLOOKUP(AE$2,'TIS Site Config'!$A$3:$AQ$51,5,FALSE)="Core",
                              1,0)</f>
        <v>0</v>
      </c>
      <c r="AF36" s="996">
        <f>IF(
             VLOOKUP(AF$2,'TIS Site Config'!$A$3:$AQ$51,5,FALSE)="Core",
                              1,0)</f>
        <v>1</v>
      </c>
      <c r="AG36" s="159">
        <f>IF(
             VLOOKUP(AG$2,'TIS Site Config'!$A$3:$AQ$51,5,FALSE)="Core",
                              1,0)</f>
        <v>0</v>
      </c>
      <c r="AH36" s="173">
        <f>IF(
             VLOOKUP(AH$2,'TIS Site Config'!$A$3:$AQ$51,5,FALSE)="Core",
                              1,0)</f>
        <v>0</v>
      </c>
      <c r="AI36" s="128">
        <f>IF(
             VLOOKUP(AI$2,'TIS Site Config'!$A$3:$AQ$51,5,FALSE)="Core",
                              1,0)</f>
        <v>1</v>
      </c>
      <c r="AJ36" s="159">
        <f>IF(
             VLOOKUP(AJ$2,'TIS Site Config'!$A$3:$AQ$51,5,FALSE)="Core",
                              1,0)</f>
        <v>0</v>
      </c>
      <c r="AK36" s="173">
        <f>IF(
             VLOOKUP(AK$2,'TIS Site Config'!$A$3:$AQ$51,5,FALSE)="Core",
                              1,0)</f>
        <v>0</v>
      </c>
      <c r="AL36" s="128">
        <f>IF(
             VLOOKUP(AL$2,'TIS Site Config'!$A$3:$AQ$51,5,FALSE)="Core",
                              1,0)</f>
        <v>1</v>
      </c>
      <c r="AM36" s="159">
        <f>IF(
             VLOOKUP(AM$2,'TIS Site Config'!$A$3:$AQ$51,5,FALSE)="Core",
                              1,0)</f>
        <v>0</v>
      </c>
      <c r="AN36" s="173">
        <f>IF(
             VLOOKUP(AN$2,'TIS Site Config'!$A$3:$AQ$51,5,FALSE)="Core",
                              1,0)</f>
        <v>0</v>
      </c>
      <c r="AO36" s="128">
        <f>IF(
             VLOOKUP(AO$2,'TIS Site Config'!$A$3:$AQ$51,5,FALSE)="Core",
                              1,0)</f>
        <v>1</v>
      </c>
      <c r="AP36" s="159">
        <f>IF(
             VLOOKUP(AP$2,'TIS Site Config'!$A$3:$AQ$51,5,FALSE)="Core",
                              1,0)</f>
        <v>0</v>
      </c>
      <c r="AQ36" s="128">
        <f>IF(
             VLOOKUP(AQ$2,'TIS Site Config'!$A$3:$AQ$51,5,FALSE)="Core",
                              1,0)</f>
        <v>1</v>
      </c>
      <c r="AR36" s="128">
        <f>IF(
             VLOOKUP(AR$2,'TIS Site Config'!$A$3:$AQ$51,5,FALSE)="Core",
                              1,0)</f>
        <v>1</v>
      </c>
      <c r="AS36" s="159">
        <f>IF(
             VLOOKUP(AS$2,'TIS Site Config'!$A$3:$AQ$51,5,FALSE)="Core",
                              1,0)</f>
        <v>0</v>
      </c>
      <c r="AT36" s="128">
        <f>IF(
             VLOOKUP(AT$2,'TIS Site Config'!$A$3:$AQ$51,5,FALSE)="Core",
                              1,0)</f>
        <v>1</v>
      </c>
      <c r="AU36" s="159">
        <f>IF(
             VLOOKUP(AU$2,'TIS Site Config'!$A$3:$AQ$51,5,FALSE)="Core",
                              1,0)</f>
        <v>0</v>
      </c>
      <c r="AV36" s="128">
        <f>IF(
             VLOOKUP(AV$2,'TIS Site Config'!$A$3:$AQ$51,5,FALSE)="Core",
                              1,0)</f>
        <v>1</v>
      </c>
      <c r="AW36" s="128">
        <f>IF(
             VLOOKUP(AW$2,'TIS Site Config'!$A$3:$AQ$51,5,FALSE)="Core",
                              1,0)</f>
        <v>1</v>
      </c>
      <c r="AX36" s="173">
        <f>IF(
             VLOOKUP(AX$2,'TIS Site Config'!$A$3:$AQ$51,5,FALSE)="Core",
                              1,0)</f>
        <v>0</v>
      </c>
      <c r="AY36" s="128">
        <f>IF(
             VLOOKUP(AY$2,'TIS Site Config'!$A$3:$AQ$51,5,FALSE)="Core",
                              1,0)</f>
        <v>1</v>
      </c>
      <c r="AZ36" s="159">
        <f>IF(
             VLOOKUP(AZ$2,'TIS Site Config'!$A$3:$AQ$51,5,FALSE)="Core",
                              1,0)</f>
        <v>0</v>
      </c>
      <c r="BA36" s="174">
        <f>IF(
             VLOOKUP(BA$2,'TIS Site Config'!$A$3:$AQ$51,5,FALSE)="Core",
                              1,0)</f>
        <v>0</v>
      </c>
      <c r="BB36" s="128">
        <f>IF(
             VLOOKUP(BB$2,'TIS Site Config'!$A$3:$AQ$51,5,FALSE)="Core",
                              1,0)</f>
        <v>1</v>
      </c>
      <c r="BC36" s="173">
        <f>IF(
             VLOOKUP(BC$2,'TIS Site Config'!$A$3:$AQ$51,5,FALSE)="Core",
                              1,0)</f>
        <v>0</v>
      </c>
      <c r="BD36" s="128">
        <f>IF(
             VLOOKUP(BD$2,'TIS Site Config'!$A$3:$AQ$51,5,FALSE)="Core",
                              1,0)</f>
        <v>1</v>
      </c>
      <c r="BE36" s="159">
        <f>IF(
             VLOOKUP(BE$2,'TIS Site Config'!$A$3:$AQ$51,5,FALSE)="Core",
                              1,0)</f>
        <v>0</v>
      </c>
      <c r="BF36" s="173">
        <f>IF(
             VLOOKUP(BF$2,'TIS Site Config'!$A$3:$AQ$51,5,FALSE)="Core",
                              1,0)</f>
        <v>0</v>
      </c>
      <c r="BG36" s="175">
        <f>IF(
             VLOOKUP(BG$2,'TIS Site Config'!$A$3:$AQ$51,5,FALSE)="Core",
                              1,0)</f>
        <v>1</v>
      </c>
      <c r="BH36" s="175"/>
      <c r="BK36" s="5">
        <v>20</v>
      </c>
      <c r="BL36" s="950" t="b">
        <f t="shared" si="3"/>
        <v>1</v>
      </c>
      <c r="BO36" s="950"/>
    </row>
    <row r="37" spans="1:67" x14ac:dyDescent="0.25">
      <c r="A37" s="1377" t="s">
        <v>388</v>
      </c>
      <c r="B37" s="1369" t="s">
        <v>64</v>
      </c>
      <c r="C37" s="66" t="s">
        <v>1207</v>
      </c>
      <c r="D37" s="89">
        <v>2</v>
      </c>
      <c r="E37" s="112" t="s">
        <v>334</v>
      </c>
      <c r="F37" s="203">
        <f t="shared" si="1"/>
        <v>46</v>
      </c>
      <c r="G37" s="467"/>
      <c r="H37" s="468"/>
      <c r="I37" s="468"/>
      <c r="J37" s="468"/>
      <c r="K37" s="469"/>
      <c r="L37" s="497"/>
      <c r="M37" s="132">
        <f>1</f>
        <v>1</v>
      </c>
      <c r="N37" s="201">
        <f>1</f>
        <v>1</v>
      </c>
      <c r="O37" s="205">
        <f>1</f>
        <v>1</v>
      </c>
      <c r="P37" s="41">
        <f>1</f>
        <v>1</v>
      </c>
      <c r="Q37" s="201">
        <f>1</f>
        <v>1</v>
      </c>
      <c r="R37" s="132">
        <f>1</f>
        <v>1</v>
      </c>
      <c r="S37" s="41">
        <f>1</f>
        <v>1</v>
      </c>
      <c r="T37" s="201">
        <f>1</f>
        <v>1</v>
      </c>
      <c r="U37" s="132">
        <f>1</f>
        <v>1</v>
      </c>
      <c r="V37" s="201">
        <f>1</f>
        <v>1</v>
      </c>
      <c r="W37" s="204">
        <f>1</f>
        <v>1</v>
      </c>
      <c r="X37" s="41">
        <f>1</f>
        <v>1</v>
      </c>
      <c r="Y37" s="201">
        <f>1</f>
        <v>1</v>
      </c>
      <c r="Z37" s="132">
        <f>1</f>
        <v>1</v>
      </c>
      <c r="AA37" s="41">
        <f>1</f>
        <v>1</v>
      </c>
      <c r="AB37" s="201">
        <f>1</f>
        <v>1</v>
      </c>
      <c r="AC37" s="41">
        <f>1</f>
        <v>1</v>
      </c>
      <c r="AD37" s="202">
        <f>1</f>
        <v>1</v>
      </c>
      <c r="AE37" s="202">
        <f>1</f>
        <v>1</v>
      </c>
      <c r="AF37" s="40">
        <f>1</f>
        <v>1</v>
      </c>
      <c r="AG37" s="41">
        <f>1</f>
        <v>1</v>
      </c>
      <c r="AH37" s="201">
        <f>1</f>
        <v>1</v>
      </c>
      <c r="AI37" s="132">
        <f>1</f>
        <v>1</v>
      </c>
      <c r="AJ37" s="41">
        <f>1</f>
        <v>1</v>
      </c>
      <c r="AK37" s="201">
        <f>1</f>
        <v>1</v>
      </c>
      <c r="AL37" s="132">
        <f>1</f>
        <v>1</v>
      </c>
      <c r="AM37" s="41">
        <f>1</f>
        <v>1</v>
      </c>
      <c r="AN37" s="201">
        <f>1</f>
        <v>1</v>
      </c>
      <c r="AO37" s="132">
        <f>1</f>
        <v>1</v>
      </c>
      <c r="AP37" s="41">
        <f>1</f>
        <v>1</v>
      </c>
      <c r="AQ37" s="132">
        <f>1</f>
        <v>1</v>
      </c>
      <c r="AR37" s="132">
        <f>1</f>
        <v>1</v>
      </c>
      <c r="AS37" s="41">
        <f>1</f>
        <v>1</v>
      </c>
      <c r="AT37" s="132">
        <f>1</f>
        <v>1</v>
      </c>
      <c r="AU37" s="41">
        <f>1</f>
        <v>1</v>
      </c>
      <c r="AV37" s="132">
        <f>1</f>
        <v>1</v>
      </c>
      <c r="AW37" s="132"/>
      <c r="AX37" s="201">
        <f>1</f>
        <v>1</v>
      </c>
      <c r="AY37" s="132">
        <f>1</f>
        <v>1</v>
      </c>
      <c r="AZ37" s="41">
        <f>1</f>
        <v>1</v>
      </c>
      <c r="BA37" s="202">
        <f>1</f>
        <v>1</v>
      </c>
      <c r="BB37" s="132">
        <f>1</f>
        <v>1</v>
      </c>
      <c r="BC37" s="201">
        <f>1</f>
        <v>1</v>
      </c>
      <c r="BD37" s="132">
        <f>1</f>
        <v>1</v>
      </c>
      <c r="BE37" s="41">
        <f>1</f>
        <v>1</v>
      </c>
      <c r="BF37" s="201">
        <f>1</f>
        <v>1</v>
      </c>
      <c r="BG37" s="203">
        <f>1</f>
        <v>1</v>
      </c>
      <c r="BH37" s="203">
        <v>1</v>
      </c>
      <c r="BK37" s="3">
        <v>60</v>
      </c>
      <c r="BL37" s="950" t="b">
        <f t="shared" si="3"/>
        <v>0</v>
      </c>
      <c r="BO37" s="950"/>
    </row>
    <row r="38" spans="1:67" s="950" customFormat="1" x14ac:dyDescent="0.25">
      <c r="A38" s="1378"/>
      <c r="B38" s="1261"/>
      <c r="C38" s="57" t="s">
        <v>1194</v>
      </c>
      <c r="D38" s="90">
        <v>4</v>
      </c>
      <c r="E38" s="84" t="s">
        <v>1195</v>
      </c>
      <c r="F38" s="60">
        <f t="shared" si="1"/>
        <v>1</v>
      </c>
      <c r="G38" s="459"/>
      <c r="H38" s="460"/>
      <c r="I38" s="460"/>
      <c r="J38" s="460"/>
      <c r="K38" s="461"/>
      <c r="L38" s="494"/>
      <c r="M38" s="134">
        <f>IF(VLOOKUP(M$2,'TIS Site Config'!$A$3:$AQ$51,1,FALSE)="WREF",1,0)</f>
        <v>0</v>
      </c>
      <c r="N38" s="212">
        <f>IF(VLOOKUP(N$2,'TIS Site Config'!$A$3:$AQ$51,1,FALSE)="WREF",1,0)</f>
        <v>0</v>
      </c>
      <c r="O38" s="215">
        <f>IF(VLOOKUP(O$2,'TIS Site Config'!$A$3:$AQ$51,1,FALSE)="WREF",1,0)</f>
        <v>0</v>
      </c>
      <c r="P38" s="309">
        <f>IF(VLOOKUP(P$2,'TIS Site Config'!$A$3:$AQ$51,1,FALSE)="WREF",1,0)</f>
        <v>0</v>
      </c>
      <c r="Q38" s="212">
        <f>IF(VLOOKUP(Q$2,'TIS Site Config'!$A$3:$AQ$51,1,FALSE)="WREF",1,0)</f>
        <v>0</v>
      </c>
      <c r="R38" s="134">
        <f>IF(VLOOKUP(R$2,'TIS Site Config'!$A$3:$AQ$51,1,FALSE)="WREF",1,0)</f>
        <v>0</v>
      </c>
      <c r="S38" s="309">
        <f>IF(VLOOKUP(S$2,'TIS Site Config'!$A$3:$AQ$51,1,FALSE)="WREF",1,0)</f>
        <v>0</v>
      </c>
      <c r="T38" s="212">
        <f>IF(VLOOKUP(T$2,'TIS Site Config'!$A$3:$AQ$51,1,FALSE)="WREF",1,0)</f>
        <v>0</v>
      </c>
      <c r="U38" s="134">
        <f>IF(VLOOKUP(U$2,'TIS Site Config'!$A$3:$AQ$51,1,FALSE)="WREF",1,0)</f>
        <v>0</v>
      </c>
      <c r="V38" s="212">
        <f>IF(VLOOKUP(V$2,'TIS Site Config'!$A$3:$AQ$51,1,FALSE)="WREF",1,0)</f>
        <v>0</v>
      </c>
      <c r="W38" s="214">
        <f>IF(VLOOKUP(W$2,'TIS Site Config'!$A$3:$AQ$51,1,FALSE)="WREF",1,0)</f>
        <v>0</v>
      </c>
      <c r="X38" s="309">
        <f>IF(VLOOKUP(X$2,'TIS Site Config'!$A$3:$AQ$51,1,FALSE)="WREF",1,0)</f>
        <v>0</v>
      </c>
      <c r="Y38" s="212">
        <f>IF(VLOOKUP(Y$2,'TIS Site Config'!$A$3:$AQ$51,1,FALSE)="WREF",1,0)</f>
        <v>0</v>
      </c>
      <c r="Z38" s="134">
        <f>IF(VLOOKUP(Z$2,'TIS Site Config'!$A$3:$AQ$51,1,FALSE)="WREF",1,0)</f>
        <v>0</v>
      </c>
      <c r="AA38" s="309">
        <f>IF(VLOOKUP(AA$2,'TIS Site Config'!$A$3:$AQ$51,1,FALSE)="WREF",1,0)</f>
        <v>0</v>
      </c>
      <c r="AB38" s="212">
        <f>IF(VLOOKUP(AB$2,'TIS Site Config'!$A$3:$AQ$51,1,FALSE)="WREF",1,0)</f>
        <v>0</v>
      </c>
      <c r="AC38" s="309">
        <f>IF(VLOOKUP(AC$2,'TIS Site Config'!$A$3:$AQ$51,1,FALSE)="WREF",1,0)</f>
        <v>0</v>
      </c>
      <c r="AD38" s="213">
        <f>IF(VLOOKUP(AD$2,'TIS Site Config'!$A$3:$AQ$51,1,FALSE)="WREF",1,0)</f>
        <v>0</v>
      </c>
      <c r="AE38" s="213">
        <f>IF(VLOOKUP(AE$2,'TIS Site Config'!$A$3:$AQ$51,1,FALSE)="WREF",1,0)</f>
        <v>0</v>
      </c>
      <c r="AF38" s="39">
        <f>IF(VLOOKUP(AF$2,'TIS Site Config'!$A$3:$AQ$51,1,FALSE)="WREF",1,0)</f>
        <v>0</v>
      </c>
      <c r="AG38" s="309">
        <f>IF(VLOOKUP(AG$2,'TIS Site Config'!$A$3:$AQ$51,1,FALSE)="WREF",1,0)</f>
        <v>0</v>
      </c>
      <c r="AH38" s="212">
        <f>IF(VLOOKUP(AH$2,'TIS Site Config'!$A$3:$AQ$51,1,FALSE)="WREF",1,0)</f>
        <v>0</v>
      </c>
      <c r="AI38" s="134">
        <f>IF(VLOOKUP(AI$2,'TIS Site Config'!$A$3:$AQ$51,1,FALSE)="WREF",1,0)</f>
        <v>0</v>
      </c>
      <c r="AJ38" s="309">
        <f>IF(VLOOKUP(AJ$2,'TIS Site Config'!$A$3:$AQ$51,1,FALSE)="WREF",1,0)</f>
        <v>0</v>
      </c>
      <c r="AK38" s="212">
        <f>IF(VLOOKUP(AK$2,'TIS Site Config'!$A$3:$AQ$51,1,FALSE)="WREF",1,0)</f>
        <v>0</v>
      </c>
      <c r="AL38" s="134">
        <f>IF(VLOOKUP(AL$2,'TIS Site Config'!$A$3:$AQ$51,1,FALSE)="WREF",1,0)</f>
        <v>0</v>
      </c>
      <c r="AM38" s="309">
        <f>IF(VLOOKUP(AM$2,'TIS Site Config'!$A$3:$AQ$51,1,FALSE)="WREF",1,0)</f>
        <v>0</v>
      </c>
      <c r="AN38" s="212">
        <f>IF(VLOOKUP(AN$2,'TIS Site Config'!$A$3:$AQ$51,1,FALSE)="WREF",1,0)</f>
        <v>0</v>
      </c>
      <c r="AO38" s="134">
        <f>IF(VLOOKUP(AO$2,'TIS Site Config'!$A$3:$AQ$51,1,FALSE)="WREF",1,0)</f>
        <v>0</v>
      </c>
      <c r="AP38" s="309">
        <f>IF(VLOOKUP(AP$2,'TIS Site Config'!$A$3:$AQ$51,1,FALSE)="WREF",1,0)</f>
        <v>0</v>
      </c>
      <c r="AQ38" s="134">
        <f>IF(VLOOKUP(AQ$2,'TIS Site Config'!$A$3:$AQ$51,1,FALSE)="WREF",1,0)</f>
        <v>0</v>
      </c>
      <c r="AR38" s="134">
        <f>IF(VLOOKUP(AR$2,'TIS Site Config'!$A$3:$AQ$51,1,FALSE)="WREF",1,0)</f>
        <v>0</v>
      </c>
      <c r="AS38" s="309">
        <f>IF(VLOOKUP(AS$2,'TIS Site Config'!$A$3:$AQ$51,1,FALSE)="WREF",1,0)</f>
        <v>0</v>
      </c>
      <c r="AT38" s="134">
        <f>IF(VLOOKUP(AT$2,'TIS Site Config'!$A$3:$AQ$51,1,FALSE)="WREF",1,0)</f>
        <v>0</v>
      </c>
      <c r="AU38" s="309">
        <f>IF(VLOOKUP(AU$2,'TIS Site Config'!$A$3:$AQ$51,1,FALSE)="WREF",1,0)</f>
        <v>0</v>
      </c>
      <c r="AV38" s="134">
        <f>IF(VLOOKUP(AV$2,'TIS Site Config'!$A$3:$AQ$51,1,FALSE)="WREF",1,0)</f>
        <v>0</v>
      </c>
      <c r="AW38" s="134">
        <f>IF(VLOOKUP(AW$2,'TIS Site Config'!$A$3:$AQ$51,1,FALSE)="WREF",1,0)</f>
        <v>1</v>
      </c>
      <c r="AX38" s="212">
        <f>IF(VLOOKUP(AX$2,'TIS Site Config'!$A$3:$AQ$51,1,FALSE)="WREF",1,0)</f>
        <v>0</v>
      </c>
      <c r="AY38" s="134">
        <f>IF(VLOOKUP(AY$2,'TIS Site Config'!$A$3:$AQ$51,1,FALSE)="WREF",1,0)</f>
        <v>0</v>
      </c>
      <c r="AZ38" s="309">
        <f>IF(VLOOKUP(AZ$2,'TIS Site Config'!$A$3:$AQ$51,1,FALSE)="WREF",1,0)</f>
        <v>0</v>
      </c>
      <c r="BA38" s="213">
        <f>IF(VLOOKUP(BA$2,'TIS Site Config'!$A$3:$AQ$51,1,FALSE)="WREF",1,0)</f>
        <v>0</v>
      </c>
      <c r="BB38" s="134">
        <f>IF(VLOOKUP(BB$2,'TIS Site Config'!$A$3:$AQ$51,1,FALSE)="WREF",1,0)</f>
        <v>0</v>
      </c>
      <c r="BC38" s="212">
        <f>IF(VLOOKUP(BC$2,'TIS Site Config'!$A$3:$AQ$51,1,FALSE)="WREF",1,0)</f>
        <v>0</v>
      </c>
      <c r="BD38" s="134">
        <f>IF(VLOOKUP(BD$2,'TIS Site Config'!$A$3:$AQ$51,1,FALSE)="WREF",1,0)</f>
        <v>0</v>
      </c>
      <c r="BE38" s="309">
        <f>IF(VLOOKUP(BE$2,'TIS Site Config'!$A$3:$AQ$51,1,FALSE)="WREF",1,0)</f>
        <v>0</v>
      </c>
      <c r="BF38" s="212">
        <f>IF(VLOOKUP(BF$2,'TIS Site Config'!$A$3:$AQ$51,1,FALSE)="WREF",1,0)</f>
        <v>0</v>
      </c>
      <c r="BG38" s="60">
        <f>IF(VLOOKUP(BG$2,'TIS Site Config'!$A$3:$AQ$51,1,FALSE)="WREF",1,0)</f>
        <v>0</v>
      </c>
      <c r="BH38" s="60">
        <f>IF(VLOOKUP(BH$2,'TIS Site Config'!$A$3:$AQ$51,1,FALSE)="WREF",1,0)</f>
        <v>0</v>
      </c>
    </row>
    <row r="39" spans="1:67" s="44" customFormat="1" ht="15.75" thickBot="1" x14ac:dyDescent="0.3">
      <c r="A39" s="1378"/>
      <c r="B39" s="1261"/>
      <c r="C39" s="69" t="s">
        <v>585</v>
      </c>
      <c r="D39" s="91">
        <v>2</v>
      </c>
      <c r="E39" s="85" t="s">
        <v>4</v>
      </c>
      <c r="F39" s="62">
        <f t="shared" si="1"/>
        <v>70</v>
      </c>
      <c r="G39" s="450"/>
      <c r="H39" s="451"/>
      <c r="I39" s="451"/>
      <c r="J39" s="451"/>
      <c r="K39" s="452"/>
      <c r="L39" s="491"/>
      <c r="M39" s="136">
        <f>1+ IF(VLOOKUP(M$2,'TIS Site Config'!$A$4:$AQ$51,3,FALSE)&lt;&gt;"Soft",
          IF(
             VLOOKUP(M$2,'TIS Site Config'!$A$3:$AQ$51,18,FALSE)="Split",
                              1,0),0)</f>
        <v>2</v>
      </c>
      <c r="N39" s="222">
        <f>1+ IF(VLOOKUP(N$2,'TIS Site Config'!$A$4:$AQ$51,3,FALSE)&lt;&gt;"Soft",
          IF(
             VLOOKUP(N$2,'TIS Site Config'!$A$3:$AQ$51,18,FALSE)="Split",
                              1,0),0)</f>
        <v>1</v>
      </c>
      <c r="O39" s="225">
        <f>1+ IF(VLOOKUP(O$2,'TIS Site Config'!$A$4:$AQ$51,3,FALSE)&lt;&gt;"Soft",
          IF(
             VLOOKUP(O$2,'TIS Site Config'!$A$3:$AQ$51,18,FALSE)="Split",
                              1,0),0)</f>
        <v>2</v>
      </c>
      <c r="P39" s="21">
        <f>1+ IF(VLOOKUP(P$2,'TIS Site Config'!$A$4:$AQ$51,3,FALSE)&lt;&gt;"Soft",
          IF(
             VLOOKUP(P$2,'TIS Site Config'!$A$3:$AQ$51,18,FALSE)="Split",
                              1,0),0)</f>
        <v>1</v>
      </c>
      <c r="Q39" s="222">
        <f>1+ IF(VLOOKUP(Q$2,'TIS Site Config'!$A$4:$AQ$51,3,FALSE)&lt;&gt;"Soft",
          IF(
             VLOOKUP(Q$2,'TIS Site Config'!$A$3:$AQ$51,18,FALSE)="Split",
                              1,0),0)</f>
        <v>1</v>
      </c>
      <c r="R39" s="136">
        <f>1+ IF(VLOOKUP(R$2,'TIS Site Config'!$A$4:$AQ$51,3,FALSE)&lt;&gt;"Soft",
          IF(
             VLOOKUP(R$2,'TIS Site Config'!$A$3:$AQ$51,18,FALSE)="Split",
                              1,0),0)</f>
        <v>1</v>
      </c>
      <c r="S39" s="21">
        <f>1+ IF(VLOOKUP(S$2,'TIS Site Config'!$A$4:$AQ$51,3,FALSE)&lt;&gt;"Soft",
          IF(
             VLOOKUP(S$2,'TIS Site Config'!$A$3:$AQ$51,18,FALSE)="Split",
                              1,0),0)</f>
        <v>2</v>
      </c>
      <c r="T39" s="222">
        <f>1+ IF(VLOOKUP(T$2,'TIS Site Config'!$A$4:$AQ$51,3,FALSE)&lt;&gt;"Soft",
          IF(
             VLOOKUP(T$2,'TIS Site Config'!$A$3:$AQ$51,18,FALSE)="Split",
                              1,0),0)</f>
        <v>2</v>
      </c>
      <c r="U39" s="136">
        <f>1+ IF(VLOOKUP(U$2,'TIS Site Config'!$A$4:$AQ$51,3,FALSE)&lt;&gt;"Soft",
          IF(
             VLOOKUP(U$2,'TIS Site Config'!$A$3:$AQ$51,18,FALSE)="Split",
                              1,0),0)</f>
        <v>2</v>
      </c>
      <c r="V39" s="222">
        <f>1+ IF(VLOOKUP(V$2,'TIS Site Config'!$A$4:$AQ$51,3,FALSE)&lt;&gt;"Soft",
          IF(
             VLOOKUP(V$2,'TIS Site Config'!$A$3:$AQ$51,18,FALSE)="Split",
                              1,0),0)</f>
        <v>2</v>
      </c>
      <c r="W39" s="224">
        <f>1+ IF(VLOOKUP(W$2,'TIS Site Config'!$A$4:$AQ$51,3,FALSE)&lt;&gt;"Soft",
          IF(
             VLOOKUP(W$2,'TIS Site Config'!$A$3:$AQ$51,18,FALSE)="Split",
                              1,0),0)</f>
        <v>1</v>
      </c>
      <c r="X39" s="21">
        <f>1+ IF(VLOOKUP(X$2,'TIS Site Config'!$A$4:$AQ$51,3,FALSE)&lt;&gt;"Soft",
          IF(
             VLOOKUP(X$2,'TIS Site Config'!$A$3:$AQ$51,18,FALSE)="Split",
                              1,0),0)</f>
        <v>1</v>
      </c>
      <c r="Y39" s="222">
        <f>1+ IF(VLOOKUP(Y$2,'TIS Site Config'!$A$4:$AQ$51,3,FALSE)&lt;&gt;"Soft",
          IF(
             VLOOKUP(Y$2,'TIS Site Config'!$A$3:$AQ$51,18,FALSE)="Split",
                              1,0),0)</f>
        <v>1</v>
      </c>
      <c r="Z39" s="136">
        <f>1+ IF(VLOOKUP(Z$2,'TIS Site Config'!$A$4:$AQ$51,3,FALSE)&lt;&gt;"Soft",
          IF(
             VLOOKUP(Z$2,'TIS Site Config'!$A$3:$AQ$51,18,FALSE)="Split",
                              1,0),0)</f>
        <v>2</v>
      </c>
      <c r="AA39" s="21">
        <f>1+ IF(VLOOKUP(AA$2,'TIS Site Config'!$A$4:$AQ$51,3,FALSE)&lt;&gt;"Soft",
          IF(
             VLOOKUP(AA$2,'TIS Site Config'!$A$3:$AQ$51,18,FALSE)="Split",
                              1,0),0)</f>
        <v>1</v>
      </c>
      <c r="AB39" s="222">
        <f>1+ IF(VLOOKUP(AB$2,'TIS Site Config'!$A$4:$AQ$51,3,FALSE)&lt;&gt;"Soft",
          IF(
             VLOOKUP(AB$2,'TIS Site Config'!$A$3:$AQ$51,18,FALSE)="Split",
                              1,0),0)</f>
        <v>2</v>
      </c>
      <c r="AC39" s="21">
        <f>1+ IF(VLOOKUP(AC$2,'TIS Site Config'!$A$4:$AQ$51,3,FALSE)&lt;&gt;"Soft",
          IF(
             VLOOKUP(AC$2,'TIS Site Config'!$A$3:$AQ$51,18,FALSE)="Split",
                              1,0),0)</f>
        <v>1</v>
      </c>
      <c r="AD39" s="223">
        <f>1+ IF(VLOOKUP(AD$2,'TIS Site Config'!$A$4:$AQ$51,3,FALSE)&lt;&gt;"Soft",
          IF(
             VLOOKUP(AD$2,'TIS Site Config'!$A$3:$AQ$51,18,FALSE)="Split",
                              1,0),0)</f>
        <v>2</v>
      </c>
      <c r="AE39" s="223">
        <f>1+ IF(VLOOKUP(AE$2,'TIS Site Config'!$A$4:$AQ$51,3,FALSE)&lt;&gt;"Soft",
          IF(
             VLOOKUP(AE$2,'TIS Site Config'!$A$3:$AQ$51,18,FALSE)="Split",
                              1,0),0)</f>
        <v>2</v>
      </c>
      <c r="AF39" s="16">
        <f>1+ IF(VLOOKUP(AF$2,'TIS Site Config'!$A$4:$AQ$51,3,FALSE)&lt;&gt;"Soft",
          IF(
             VLOOKUP(AF$2,'TIS Site Config'!$A$3:$AQ$51,18,FALSE)="Split",
                              1,0),0)</f>
        <v>2</v>
      </c>
      <c r="AG39" s="21">
        <f>1+ IF(VLOOKUP(AG$2,'TIS Site Config'!$A$4:$AQ$51,3,FALSE)&lt;&gt;"Soft",
          IF(
             VLOOKUP(AG$2,'TIS Site Config'!$A$3:$AQ$51,18,FALSE)="Split",
                              1,0),0)</f>
        <v>1</v>
      </c>
      <c r="AH39" s="222">
        <f>1+ IF(VLOOKUP(AH$2,'TIS Site Config'!$A$4:$AQ$51,3,FALSE)&lt;&gt;"Soft",
          IF(
             VLOOKUP(AH$2,'TIS Site Config'!$A$3:$AQ$51,18,FALSE)="Split",
                              1,0),0)</f>
        <v>2</v>
      </c>
      <c r="AI39" s="136">
        <f>1+ IF(VLOOKUP(AI$2,'TIS Site Config'!$A$4:$AQ$51,3,FALSE)&lt;&gt;"Soft",
          IF(
             VLOOKUP(AI$2,'TIS Site Config'!$A$3:$AQ$51,18,FALSE)="Split",
                              1,0),0)</f>
        <v>2</v>
      </c>
      <c r="AJ39" s="21">
        <f>1+ IF(VLOOKUP(AJ$2,'TIS Site Config'!$A$4:$AQ$51,3,FALSE)&lt;&gt;"Soft",
          IF(
             VLOOKUP(AJ$2,'TIS Site Config'!$A$3:$AQ$51,18,FALSE)="Split",
                              1,0),0)</f>
        <v>2</v>
      </c>
      <c r="AK39" s="222">
        <f>1+ IF(VLOOKUP(AK$2,'TIS Site Config'!$A$4:$AQ$51,3,FALSE)&lt;&gt;"Soft",
          IF(
             VLOOKUP(AK$2,'TIS Site Config'!$A$3:$AQ$51,18,FALSE)="Split",
                              1,0),0)</f>
        <v>1</v>
      </c>
      <c r="AL39" s="136">
        <f>1+ IF(VLOOKUP(AL$2,'TIS Site Config'!$A$4:$AQ$51,3,FALSE)&lt;&gt;"Soft",
          IF(
             VLOOKUP(AL$2,'TIS Site Config'!$A$3:$AQ$51,18,FALSE)="Split",
                              1,0),0)</f>
        <v>2</v>
      </c>
      <c r="AM39" s="21">
        <f>1+ IF(VLOOKUP(AM$2,'TIS Site Config'!$A$4:$AQ$51,3,FALSE)&lt;&gt;"Soft",
          IF(
             VLOOKUP(AM$2,'TIS Site Config'!$A$3:$AQ$51,18,FALSE)="Split",
                              1,0),0)</f>
        <v>2</v>
      </c>
      <c r="AN39" s="222">
        <f>1+ IF(VLOOKUP(AN$2,'TIS Site Config'!$A$4:$AQ$51,3,FALSE)&lt;&gt;"Soft",
          IF(
             VLOOKUP(AN$2,'TIS Site Config'!$A$3:$AQ$51,18,FALSE)="Split",
                              1,0),0)</f>
        <v>1</v>
      </c>
      <c r="AO39" s="136">
        <f>1+ IF(VLOOKUP(AO$2,'TIS Site Config'!$A$4:$AQ$51,3,FALSE)&lt;&gt;"Soft",
          IF(
             VLOOKUP(AO$2,'TIS Site Config'!$A$3:$AQ$51,18,FALSE)="Split",
                              1,0),0)</f>
        <v>2</v>
      </c>
      <c r="AP39" s="21">
        <f>1+ IF(VLOOKUP(AP$2,'TIS Site Config'!$A$4:$AQ$51,3,FALSE)&lt;&gt;"Soft",
          IF(
             VLOOKUP(AP$2,'TIS Site Config'!$A$3:$AQ$51,18,FALSE)="Split",
                              1,0),0)</f>
        <v>2</v>
      </c>
      <c r="AQ39" s="136">
        <f>1+ IF(VLOOKUP(AQ$2,'TIS Site Config'!$A$4:$AQ$51,3,FALSE)&lt;&gt;"Soft",
          IF(
             VLOOKUP(AQ$2,'TIS Site Config'!$A$3:$AQ$51,18,FALSE)="Split",
                              1,0),0)</f>
        <v>1</v>
      </c>
      <c r="AR39" s="136">
        <f>1+ IF(VLOOKUP(AR$2,'TIS Site Config'!$A$4:$AQ$51,3,FALSE)&lt;&gt;"Soft",
          IF(
             VLOOKUP(AR$2,'TIS Site Config'!$A$3:$AQ$51,18,FALSE)="Split",
                              1,0),0)</f>
        <v>2</v>
      </c>
      <c r="AS39" s="21">
        <f>1+ IF(VLOOKUP(AS$2,'TIS Site Config'!$A$4:$AQ$51,3,FALSE)&lt;&gt;"Soft",
          IF(
             VLOOKUP(AS$2,'TIS Site Config'!$A$3:$AQ$51,18,FALSE)="Split",
                              1,0),0)</f>
        <v>1</v>
      </c>
      <c r="AT39" s="136">
        <f>1+ IF(VLOOKUP(AT$2,'TIS Site Config'!$A$4:$AQ$51,3,FALSE)&lt;&gt;"Soft",
          IF(
             VLOOKUP(AT$2,'TIS Site Config'!$A$3:$AQ$51,18,FALSE)="Split",
                              1,0),0)</f>
        <v>1</v>
      </c>
      <c r="AU39" s="21">
        <f>1+ IF(VLOOKUP(AU$2,'TIS Site Config'!$A$4:$AQ$51,3,FALSE)&lt;&gt;"Soft",
          IF(
             VLOOKUP(AU$2,'TIS Site Config'!$A$3:$AQ$51,18,FALSE)="Split",
                              1,0),0)</f>
        <v>1</v>
      </c>
      <c r="AV39" s="136">
        <f>1+ IF(VLOOKUP(AV$2,'TIS Site Config'!$A$4:$AQ$51,3,FALSE)&lt;&gt;"Soft",
          IF(
             VLOOKUP(AV$2,'TIS Site Config'!$A$3:$AQ$51,18,FALSE)="Split",
                              1,0),0)</f>
        <v>1</v>
      </c>
      <c r="AW39" s="136">
        <f>1+ IF(VLOOKUP(AW$2,'TIS Site Config'!$A$4:$AQ$51,3,FALSE)&lt;&gt;"Soft",
          IF(
             VLOOKUP(AW$2,'TIS Site Config'!$A$3:$AQ$51,18,FALSE)="Split",
                              1,0),0)</f>
        <v>2</v>
      </c>
      <c r="AX39" s="222">
        <f>1+ IF(VLOOKUP(AX$2,'TIS Site Config'!$A$4:$AQ$51,3,FALSE)&lt;&gt;"Soft",
          IF(
             VLOOKUP(AX$2,'TIS Site Config'!$A$3:$AQ$51,18,FALSE)="Split",
                              1,0),0)</f>
        <v>1</v>
      </c>
      <c r="AY39" s="136">
        <f>1+ IF(VLOOKUP(AY$2,'TIS Site Config'!$A$4:$AQ$51,3,FALSE)&lt;&gt;"Soft",
          IF(
             VLOOKUP(AY$2,'TIS Site Config'!$A$3:$AQ$51,18,FALSE)="Split",
                              1,0),0)</f>
        <v>2</v>
      </c>
      <c r="AZ39" s="21">
        <f>1+ IF(VLOOKUP(AZ$2,'TIS Site Config'!$A$4:$AQ$51,3,FALSE)&lt;&gt;"Soft",
          IF(
             VLOOKUP(AZ$2,'TIS Site Config'!$A$3:$AQ$51,18,FALSE)="Split",
                              1,0),0)</f>
        <v>2</v>
      </c>
      <c r="BA39" s="223">
        <f>1+ IF(VLOOKUP(BA$2,'TIS Site Config'!$A$4:$AQ$51,3,FALSE)&lt;&gt;"Soft",
          IF(
             VLOOKUP(BA$2,'TIS Site Config'!$A$3:$AQ$51,18,FALSE)="Split",
                              1,0),0)</f>
        <v>1</v>
      </c>
      <c r="BB39" s="136">
        <f>1+ IF(VLOOKUP(BB$2,'TIS Site Config'!$A$4:$AQ$51,3,FALSE)&lt;&gt;"Soft",
          IF(
             VLOOKUP(BB$2,'TIS Site Config'!$A$3:$AQ$51,18,FALSE)="Split",
                              1,0),0)</f>
        <v>2</v>
      </c>
      <c r="BC39" s="222">
        <f>1+ IF(VLOOKUP(BC$2,'TIS Site Config'!$A$4:$AQ$51,3,FALSE)&lt;&gt;"Soft",
          IF(
             VLOOKUP(BC$2,'TIS Site Config'!$A$3:$AQ$51,18,FALSE)="Split",
                              1,0),0)</f>
        <v>1</v>
      </c>
      <c r="BD39" s="136">
        <f>1+ IF(VLOOKUP(BD$2,'TIS Site Config'!$A$4:$AQ$51,3,FALSE)&lt;&gt;"Soft",
          IF(
             VLOOKUP(BD$2,'TIS Site Config'!$A$3:$AQ$51,18,FALSE)="Split",
                              1,0),0)</f>
        <v>1</v>
      </c>
      <c r="BE39" s="21">
        <f>1+ IF(VLOOKUP(BE$2,'TIS Site Config'!$A$4:$AQ$51,3,FALSE)&lt;&gt;"Soft",
          IF(
             VLOOKUP(BE$2,'TIS Site Config'!$A$3:$AQ$51,18,FALSE)="Split",
                              1,0),0)</f>
        <v>1</v>
      </c>
      <c r="BF39" s="222">
        <f>1+ IF(VLOOKUP(BF$2,'TIS Site Config'!$A$4:$AQ$51,3,FALSE)&lt;&gt;"Soft",
          IF(
             VLOOKUP(BF$2,'TIS Site Config'!$A$3:$AQ$51,18,FALSE)="Split",
                              1,0),0)</f>
        <v>1</v>
      </c>
      <c r="BG39" s="62">
        <f>1+ IF(VLOOKUP(BG$2,'TIS Site Config'!$A$4:$AQ$51,3,FALSE)&lt;&gt;"Soft",
          IF(
             VLOOKUP(BG$2,'TIS Site Config'!$A$3:$AQ$51,18,FALSE)="Split",
                              1,0),0)</f>
        <v>1</v>
      </c>
      <c r="BH39" s="62">
        <f>1+ IF(VLOOKUP(BH$2,'TIS Site Config'!$A$4:$AQ$51,3,FALSE)&lt;&gt;"Soft",
          IF(
             VLOOKUP(BH$2,'TIS Site Config'!$A$3:$AQ$51,18,FALSE)="Split",
                              1,0),0)</f>
        <v>2</v>
      </c>
      <c r="BK39" s="44">
        <v>87</v>
      </c>
      <c r="BL39" s="950" t="b">
        <f t="shared" si="3"/>
        <v>0</v>
      </c>
      <c r="BO39" s="950"/>
    </row>
    <row r="40" spans="1:67" ht="15.75" thickTop="1" x14ac:dyDescent="0.25">
      <c r="A40" s="1378"/>
      <c r="B40" s="1338" t="s">
        <v>66</v>
      </c>
      <c r="C40" s="288" t="s">
        <v>449</v>
      </c>
      <c r="D40" s="95">
        <v>1</v>
      </c>
      <c r="E40" s="111" t="s">
        <v>450</v>
      </c>
      <c r="F40" s="65">
        <f t="shared" si="1"/>
        <v>203</v>
      </c>
      <c r="G40" s="447"/>
      <c r="H40" s="448"/>
      <c r="I40" s="448"/>
      <c r="J40" s="448"/>
      <c r="K40" s="449"/>
      <c r="L40" s="490"/>
      <c r="M40" s="139">
        <f>IF(VLOOKUP(M$2,'TIS Site Config'!$A$4:$AQ$51,3,FALSE)&lt;&gt;"Soft",
          IF(VLOOKUP(M$2,'TIS Site Config'!$A$3:$AQ$51,1,FALSE)&lt;&gt;"WREF",
          IF(VLOOKUP(M$2,'TIS Site Config'!$A$3:$AQ$51,18,FALSE)="Combined",
                                (VLOOKUP(M$2,'TIS Site Config'!$A$3:$AQ$51,17,FALSE)-2),
                                IF(VLOOKUP(M$2,'TIS Site Config'!$A$3:$AQ$51,18,FALSE)="Split",
                                      (VLOOKUP(M$2,'TIS Site Config'!$A$3:$AQ$51,17,FALSE)-2)*2,
                                       0)
                                       ),0),0)</f>
        <v>8</v>
      </c>
      <c r="N40" s="240">
        <f>IF(VLOOKUP(N$2,'TIS Site Config'!$A$4:$AQ$51,3,FALSE)&lt;&gt;"Soft",
          IF(VLOOKUP(N$2,'TIS Site Config'!$A$3:$AQ$51,1,FALSE)&lt;&gt;"WREF",
          IF(VLOOKUP(N$2,'TIS Site Config'!$A$3:$AQ$51,18,FALSE)="Combined",
                                (VLOOKUP(N$2,'TIS Site Config'!$A$3:$AQ$51,17,FALSE)-2),
                                IF(VLOOKUP(N$2,'TIS Site Config'!$A$3:$AQ$51,18,FALSE)="Split",
                                      (VLOOKUP(N$2,'TIS Site Config'!$A$3:$AQ$51,17,FALSE)-2)*2,
                                       0)
                                       ),0),0)</f>
        <v>4</v>
      </c>
      <c r="O40" s="244">
        <f>IF(VLOOKUP(O$2,'TIS Site Config'!$A$4:$AQ$51,3,FALSE)&lt;&gt;"Soft",
          IF(VLOOKUP(O$2,'TIS Site Config'!$A$3:$AQ$51,1,FALSE)&lt;&gt;"WREF",
          IF(VLOOKUP(O$2,'TIS Site Config'!$A$3:$AQ$51,18,FALSE)="Combined",
                                (VLOOKUP(O$2,'TIS Site Config'!$A$3:$AQ$51,17,FALSE)-2),
                                IF(VLOOKUP(O$2,'TIS Site Config'!$A$3:$AQ$51,18,FALSE)="Split",
                                      (VLOOKUP(O$2,'TIS Site Config'!$A$3:$AQ$51,17,FALSE)-2)*2,
                                       0)
                                       ),0),0)</f>
        <v>8</v>
      </c>
      <c r="P40" s="239">
        <f>IF(VLOOKUP(P$2,'TIS Site Config'!$A$4:$AQ$51,3,FALSE)&lt;&gt;"Soft",
          IF(VLOOKUP(P$2,'TIS Site Config'!$A$3:$AQ$51,1,FALSE)&lt;&gt;"WREF",
          IF(VLOOKUP(P$2,'TIS Site Config'!$A$3:$AQ$51,18,FALSE)="Combined",
                                (VLOOKUP(P$2,'TIS Site Config'!$A$3:$AQ$51,17,FALSE)-2),
                                IF(VLOOKUP(P$2,'TIS Site Config'!$A$3:$AQ$51,18,FALSE)="Split",
                                      (VLOOKUP(P$2,'TIS Site Config'!$A$3:$AQ$51,17,FALSE)-2)*2,
                                       0)
                                       ),0),0)</f>
        <v>4</v>
      </c>
      <c r="Q40" s="240">
        <f>IF(VLOOKUP(Q$2,'TIS Site Config'!$A$4:$AQ$51,3,FALSE)&lt;&gt;"Soft",
          IF(VLOOKUP(Q$2,'TIS Site Config'!$A$3:$AQ$51,1,FALSE)&lt;&gt;"WREF",
          IF(VLOOKUP(Q$2,'TIS Site Config'!$A$3:$AQ$51,18,FALSE)="Combined",
                                (VLOOKUP(Q$2,'TIS Site Config'!$A$3:$AQ$51,17,FALSE)-2),
                                IF(VLOOKUP(Q$2,'TIS Site Config'!$A$3:$AQ$51,18,FALSE)="Split",
                                      (VLOOKUP(Q$2,'TIS Site Config'!$A$3:$AQ$51,17,FALSE)-2)*2,
                                       0)
                                       ),0),0)</f>
        <v>2</v>
      </c>
      <c r="R40" s="139">
        <f>IF(VLOOKUP(R$2,'TIS Site Config'!$A$4:$AQ$51,3,FALSE)&lt;&gt;"Soft",
          IF(VLOOKUP(R$2,'TIS Site Config'!$A$3:$AQ$51,1,FALSE)&lt;&gt;"WREF",
          IF(VLOOKUP(R$2,'TIS Site Config'!$A$3:$AQ$51,18,FALSE)="Combined",
                                (VLOOKUP(R$2,'TIS Site Config'!$A$3:$AQ$51,17,FALSE)-2),
                                IF(VLOOKUP(R$2,'TIS Site Config'!$A$3:$AQ$51,18,FALSE)="Split",
                                      (VLOOKUP(R$2,'TIS Site Config'!$A$3:$AQ$51,17,FALSE)-2)*2,
                                       0)
                                       ),0),0)</f>
        <v>4</v>
      </c>
      <c r="S40" s="239">
        <f>IF(VLOOKUP(S$2,'TIS Site Config'!$A$4:$AQ$51,3,FALSE)&lt;&gt;"Soft",
          IF(VLOOKUP(S$2,'TIS Site Config'!$A$3:$AQ$51,1,FALSE)&lt;&gt;"WREF",
          IF(VLOOKUP(S$2,'TIS Site Config'!$A$3:$AQ$51,18,FALSE)="Combined",
                                (VLOOKUP(S$2,'TIS Site Config'!$A$3:$AQ$51,17,FALSE)-2),
                                IF(VLOOKUP(S$2,'TIS Site Config'!$A$3:$AQ$51,18,FALSE)="Split",
                                      (VLOOKUP(S$2,'TIS Site Config'!$A$3:$AQ$51,17,FALSE)-2)*2,
                                       0)
                                       ),0),0)</f>
        <v>4</v>
      </c>
      <c r="T40" s="240">
        <f>IF(VLOOKUP(T$2,'TIS Site Config'!$A$4:$AQ$51,3,FALSE)&lt;&gt;"Soft",
          IF(VLOOKUP(T$2,'TIS Site Config'!$A$3:$AQ$51,1,FALSE)&lt;&gt;"WREF",
          IF(VLOOKUP(T$2,'TIS Site Config'!$A$3:$AQ$51,18,FALSE)="Combined",
                                (VLOOKUP(T$2,'TIS Site Config'!$A$3:$AQ$51,17,FALSE)-2),
                                IF(VLOOKUP(T$2,'TIS Site Config'!$A$3:$AQ$51,18,FALSE)="Split",
                                      (VLOOKUP(T$2,'TIS Site Config'!$A$3:$AQ$51,17,FALSE)-2)*2,
                                       0)
                                       ),0),0)</f>
        <v>8</v>
      </c>
      <c r="U40" s="139">
        <f>IF(VLOOKUP(U$2,'TIS Site Config'!$A$4:$AQ$51,3,FALSE)&lt;&gt;"Soft",
          IF(VLOOKUP(U$2,'TIS Site Config'!$A$3:$AQ$51,1,FALSE)&lt;&gt;"WREF",
          IF(VLOOKUP(U$2,'TIS Site Config'!$A$3:$AQ$51,18,FALSE)="Combined",
                                (VLOOKUP(U$2,'TIS Site Config'!$A$3:$AQ$51,17,FALSE)-2),
                                IF(VLOOKUP(U$2,'TIS Site Config'!$A$3:$AQ$51,18,FALSE)="Split",
                                      (VLOOKUP(U$2,'TIS Site Config'!$A$3:$AQ$51,17,FALSE)-2)*2,
                                       0)
                                       ),0),0)</f>
        <v>6</v>
      </c>
      <c r="V40" s="240">
        <f>IF(VLOOKUP(V$2,'TIS Site Config'!$A$4:$AQ$51,3,FALSE)&lt;&gt;"Soft",
          IF(VLOOKUP(V$2,'TIS Site Config'!$A$3:$AQ$51,1,FALSE)&lt;&gt;"WREF",
          IF(VLOOKUP(V$2,'TIS Site Config'!$A$3:$AQ$51,18,FALSE)="Combined",
                                (VLOOKUP(V$2,'TIS Site Config'!$A$3:$AQ$51,17,FALSE)-2),
                                IF(VLOOKUP(V$2,'TIS Site Config'!$A$3:$AQ$51,18,FALSE)="Split",
                                      (VLOOKUP(V$2,'TIS Site Config'!$A$3:$AQ$51,17,FALSE)-2)*2,
                                       0)
                                       ),0),0)</f>
        <v>4</v>
      </c>
      <c r="W40" s="243">
        <f>IF(VLOOKUP(W$2,'TIS Site Config'!$A$4:$AQ$51,3,FALSE)&lt;&gt;"Soft",
          IF(VLOOKUP(W$2,'TIS Site Config'!$A$3:$AQ$51,1,FALSE)&lt;&gt;"WREF",
          IF(VLOOKUP(W$2,'TIS Site Config'!$A$3:$AQ$51,18,FALSE)="Combined",
                                (VLOOKUP(W$2,'TIS Site Config'!$A$3:$AQ$51,17,FALSE)-2),
                                IF(VLOOKUP(W$2,'TIS Site Config'!$A$3:$AQ$51,18,FALSE)="Split",
                                      (VLOOKUP(W$2,'TIS Site Config'!$A$3:$AQ$51,17,FALSE)-2)*2,
                                       0)
                                       ),0),0)</f>
        <v>4</v>
      </c>
      <c r="X40" s="239">
        <f>IF(VLOOKUP(X$2,'TIS Site Config'!$A$4:$AQ$51,3,FALSE)&lt;&gt;"Soft",
          IF(VLOOKUP(X$2,'TIS Site Config'!$A$3:$AQ$51,1,FALSE)&lt;&gt;"WREF",
          IF(VLOOKUP(X$2,'TIS Site Config'!$A$3:$AQ$51,18,FALSE)="Combined",
                                (VLOOKUP(X$2,'TIS Site Config'!$A$3:$AQ$51,17,FALSE)-2),
                                IF(VLOOKUP(X$2,'TIS Site Config'!$A$3:$AQ$51,18,FALSE)="Split",
                                      (VLOOKUP(X$2,'TIS Site Config'!$A$3:$AQ$51,17,FALSE)-2)*2,
                                       0)
                                       ),0),0)</f>
        <v>4</v>
      </c>
      <c r="Y40" s="240">
        <f>IF(VLOOKUP(Y$2,'TIS Site Config'!$A$4:$AQ$51,3,FALSE)&lt;&gt;"Soft",
          IF(VLOOKUP(Y$2,'TIS Site Config'!$A$3:$AQ$51,1,FALSE)&lt;&gt;"WREF",
          IF(VLOOKUP(Y$2,'TIS Site Config'!$A$3:$AQ$51,18,FALSE)="Combined",
                                (VLOOKUP(Y$2,'TIS Site Config'!$A$3:$AQ$51,17,FALSE)-2),
                                IF(VLOOKUP(Y$2,'TIS Site Config'!$A$3:$AQ$51,18,FALSE)="Split",
                                      (VLOOKUP(Y$2,'TIS Site Config'!$A$3:$AQ$51,17,FALSE)-2)*2,
                                       0)
                                       ),0),0)</f>
        <v>4</v>
      </c>
      <c r="Z40" s="139">
        <f>IF(VLOOKUP(Z$2,'TIS Site Config'!$A$4:$AQ$51,3,FALSE)&lt;&gt;"Soft",
          IF(VLOOKUP(Z$2,'TIS Site Config'!$A$3:$AQ$51,1,FALSE)&lt;&gt;"WREF",
          IF(VLOOKUP(Z$2,'TIS Site Config'!$A$3:$AQ$51,18,FALSE)="Combined",
                                (VLOOKUP(Z$2,'TIS Site Config'!$A$3:$AQ$51,17,FALSE)-2),
                                IF(VLOOKUP(Z$2,'TIS Site Config'!$A$3:$AQ$51,18,FALSE)="Split",
                                      (VLOOKUP(Z$2,'TIS Site Config'!$A$3:$AQ$51,17,FALSE)-2)*2,
                                       0)
                                       ),0),0)</f>
        <v>4</v>
      </c>
      <c r="AA40" s="239">
        <f>IF(VLOOKUP(AA$2,'TIS Site Config'!$A$4:$AQ$51,3,FALSE)&lt;&gt;"Soft",
          IF(VLOOKUP(AA$2,'TIS Site Config'!$A$3:$AQ$51,1,FALSE)&lt;&gt;"WREF",
          IF(VLOOKUP(AA$2,'TIS Site Config'!$A$3:$AQ$51,18,FALSE)="Combined",
                                (VLOOKUP(AA$2,'TIS Site Config'!$A$3:$AQ$51,17,FALSE)-2),
                                IF(VLOOKUP(AA$2,'TIS Site Config'!$A$3:$AQ$51,18,FALSE)="Split",
                                      (VLOOKUP(AA$2,'TIS Site Config'!$A$3:$AQ$51,17,FALSE)-2)*2,
                                       0)
                                       ),0),0)</f>
        <v>4</v>
      </c>
      <c r="AB40" s="240">
        <f>IF(VLOOKUP(AB$2,'TIS Site Config'!$A$4:$AQ$51,3,FALSE)&lt;&gt;"Soft",
          IF(VLOOKUP(AB$2,'TIS Site Config'!$A$3:$AQ$51,1,FALSE)&lt;&gt;"WREF",
          IF(VLOOKUP(AB$2,'TIS Site Config'!$A$3:$AQ$51,18,FALSE)="Combined",
                                (VLOOKUP(AB$2,'TIS Site Config'!$A$3:$AQ$51,17,FALSE)-2),
                                IF(VLOOKUP(AB$2,'TIS Site Config'!$A$3:$AQ$51,18,FALSE)="Split",
                                      (VLOOKUP(AB$2,'TIS Site Config'!$A$3:$AQ$51,17,FALSE)-2)*2,
                                       0)
                                       ),0),0)</f>
        <v>4</v>
      </c>
      <c r="AC40" s="239">
        <f>IF(VLOOKUP(AC$2,'TIS Site Config'!$A$4:$AQ$51,3,FALSE)&lt;&gt;"Soft",
          IF(VLOOKUP(AC$2,'TIS Site Config'!$A$3:$AQ$51,1,FALSE)&lt;&gt;"WREF",
          IF(VLOOKUP(AC$2,'TIS Site Config'!$A$3:$AQ$51,18,FALSE)="Combined",
                                (VLOOKUP(AC$2,'TIS Site Config'!$A$3:$AQ$51,17,FALSE)-2),
                                IF(VLOOKUP(AC$2,'TIS Site Config'!$A$3:$AQ$51,18,FALSE)="Split",
                                      (VLOOKUP(AC$2,'TIS Site Config'!$A$3:$AQ$51,17,FALSE)-2)*2,
                                       0)
                                       ),0),0)</f>
        <v>4</v>
      </c>
      <c r="AD40" s="241">
        <f>IF(VLOOKUP(AD$2,'TIS Site Config'!$A$4:$AQ$51,3,FALSE)&lt;&gt;"Soft",
          IF(VLOOKUP(AD$2,'TIS Site Config'!$A$3:$AQ$51,1,FALSE)&lt;&gt;"WREF",
          IF(VLOOKUP(AD$2,'TIS Site Config'!$A$3:$AQ$51,18,FALSE)="Combined",
                                (VLOOKUP(AD$2,'TIS Site Config'!$A$3:$AQ$51,17,FALSE)-2),
                                IF(VLOOKUP(AD$2,'TIS Site Config'!$A$3:$AQ$51,18,FALSE)="Split",
                                      (VLOOKUP(AD$2,'TIS Site Config'!$A$3:$AQ$51,17,FALSE)-2)*2,
                                       0)
                                       ),0),0)</f>
        <v>8</v>
      </c>
      <c r="AE40" s="241">
        <f>IF(VLOOKUP(AE$2,'TIS Site Config'!$A$4:$AQ$51,3,FALSE)&lt;&gt;"Soft",
          IF(VLOOKUP(AE$2,'TIS Site Config'!$A$3:$AQ$51,1,FALSE)&lt;&gt;"WREF",
          IF(VLOOKUP(AE$2,'TIS Site Config'!$A$3:$AQ$51,18,FALSE)="Combined",
                                (VLOOKUP(AE$2,'TIS Site Config'!$A$3:$AQ$51,17,FALSE)-2),
                                IF(VLOOKUP(AE$2,'TIS Site Config'!$A$3:$AQ$51,18,FALSE)="Split",
                                      (VLOOKUP(AE$2,'TIS Site Config'!$A$3:$AQ$51,17,FALSE)-2)*2,
                                       0)
                                       ),0),0)</f>
        <v>8</v>
      </c>
      <c r="AF40" s="242">
        <f>IF(VLOOKUP(AF$2,'TIS Site Config'!$A$4:$AQ$51,3,FALSE)&lt;&gt;"Soft",
          IF(VLOOKUP(AF$2,'TIS Site Config'!$A$3:$AQ$51,1,FALSE)&lt;&gt;"WREF",
          IF(VLOOKUP(AF$2,'TIS Site Config'!$A$3:$AQ$51,18,FALSE)="Combined",
                                (VLOOKUP(AF$2,'TIS Site Config'!$A$3:$AQ$51,17,FALSE)-2),
                                IF(VLOOKUP(AF$2,'TIS Site Config'!$A$3:$AQ$51,18,FALSE)="Split",
                                      (VLOOKUP(AF$2,'TIS Site Config'!$A$3:$AQ$51,17,FALSE)-2)*2,
                                       0)
                                       ),0),0)</f>
        <v>6</v>
      </c>
      <c r="AG40" s="239">
        <f>IF(VLOOKUP(AG$2,'TIS Site Config'!$A$4:$AQ$51,3,FALSE)&lt;&gt;"Soft",
          IF(VLOOKUP(AG$2,'TIS Site Config'!$A$3:$AQ$51,1,FALSE)&lt;&gt;"WREF",
          IF(VLOOKUP(AG$2,'TIS Site Config'!$A$3:$AQ$51,18,FALSE)="Combined",
                                (VLOOKUP(AG$2,'TIS Site Config'!$A$3:$AQ$51,17,FALSE)-2),
                                IF(VLOOKUP(AG$2,'TIS Site Config'!$A$3:$AQ$51,18,FALSE)="Split",
                                      (VLOOKUP(AG$2,'TIS Site Config'!$A$3:$AQ$51,17,FALSE)-2)*2,
                                       0)
                                       ),0),0)</f>
        <v>4</v>
      </c>
      <c r="AH40" s="240">
        <f>IF(VLOOKUP(AH$2,'TIS Site Config'!$A$4:$AQ$51,3,FALSE)&lt;&gt;"Soft",
          IF(VLOOKUP(AH$2,'TIS Site Config'!$A$3:$AQ$51,1,FALSE)&lt;&gt;"WREF",
          IF(VLOOKUP(AH$2,'TIS Site Config'!$A$3:$AQ$51,18,FALSE)="Combined",
                                (VLOOKUP(AH$2,'TIS Site Config'!$A$3:$AQ$51,17,FALSE)-2),
                                IF(VLOOKUP(AH$2,'TIS Site Config'!$A$3:$AQ$51,18,FALSE)="Split",
                                      (VLOOKUP(AH$2,'TIS Site Config'!$A$3:$AQ$51,17,FALSE)-2)*2,
                                       0)
                                       ),0),0)</f>
        <v>8</v>
      </c>
      <c r="AI40" s="139">
        <f>IF(VLOOKUP(AI$2,'TIS Site Config'!$A$4:$AQ$51,3,FALSE)&lt;&gt;"Soft",
          IF(VLOOKUP(AI$2,'TIS Site Config'!$A$3:$AQ$51,1,FALSE)&lt;&gt;"WREF",
          IF(VLOOKUP(AI$2,'TIS Site Config'!$A$3:$AQ$51,18,FALSE)="Combined",
                                (VLOOKUP(AI$2,'TIS Site Config'!$A$3:$AQ$51,17,FALSE)-2),
                                IF(VLOOKUP(AI$2,'TIS Site Config'!$A$3:$AQ$51,18,FALSE)="Split",
                                      (VLOOKUP(AI$2,'TIS Site Config'!$A$3:$AQ$51,17,FALSE)-2)*2,
                                       0)
                                       ),0),0)</f>
        <v>4</v>
      </c>
      <c r="AJ40" s="239">
        <f>IF(VLOOKUP(AJ$2,'TIS Site Config'!$A$4:$AQ$51,3,FALSE)&lt;&gt;"Soft",
          IF(VLOOKUP(AJ$2,'TIS Site Config'!$A$3:$AQ$51,1,FALSE)&lt;&gt;"WREF",
          IF(VLOOKUP(AJ$2,'TIS Site Config'!$A$3:$AQ$51,18,FALSE)="Combined",
                                (VLOOKUP(AJ$2,'TIS Site Config'!$A$3:$AQ$51,17,FALSE)-2),
                                IF(VLOOKUP(AJ$2,'TIS Site Config'!$A$3:$AQ$51,18,FALSE)="Split",
                                      (VLOOKUP(AJ$2,'TIS Site Config'!$A$3:$AQ$51,17,FALSE)-2)*2,
                                       0)
                                       ),0),0)</f>
        <v>4</v>
      </c>
      <c r="AK40" s="240">
        <f>IF(VLOOKUP(AK$2,'TIS Site Config'!$A$4:$AQ$51,3,FALSE)&lt;&gt;"Soft",
          IF(VLOOKUP(AK$2,'TIS Site Config'!$A$3:$AQ$51,1,FALSE)&lt;&gt;"WREF",
          IF(VLOOKUP(AK$2,'TIS Site Config'!$A$3:$AQ$51,18,FALSE)="Combined",
                                (VLOOKUP(AK$2,'TIS Site Config'!$A$3:$AQ$51,17,FALSE)-2),
                                IF(VLOOKUP(AK$2,'TIS Site Config'!$A$3:$AQ$51,18,FALSE)="Split",
                                      (VLOOKUP(AK$2,'TIS Site Config'!$A$3:$AQ$51,17,FALSE)-2)*2,
                                       0)
                                       ),0),0)</f>
        <v>2</v>
      </c>
      <c r="AL40" s="139">
        <f>IF(VLOOKUP(AL$2,'TIS Site Config'!$A$4:$AQ$51,3,FALSE)&lt;&gt;"Soft",
          IF(VLOOKUP(AL$2,'TIS Site Config'!$A$3:$AQ$51,1,FALSE)&lt;&gt;"WREF",
          IF(VLOOKUP(AL$2,'TIS Site Config'!$A$3:$AQ$51,18,FALSE)="Combined",
                                (VLOOKUP(AL$2,'TIS Site Config'!$A$3:$AQ$51,17,FALSE)-2),
                                IF(VLOOKUP(AL$2,'TIS Site Config'!$A$3:$AQ$51,18,FALSE)="Split",
                                      (VLOOKUP(AL$2,'TIS Site Config'!$A$3:$AQ$51,17,FALSE)-2)*2,
                                       0)
                                       ),0),0)</f>
        <v>4</v>
      </c>
      <c r="AM40" s="239">
        <f>IF(VLOOKUP(AM$2,'TIS Site Config'!$A$4:$AQ$51,3,FALSE)&lt;&gt;"Soft",
          IF(VLOOKUP(AM$2,'TIS Site Config'!$A$3:$AQ$51,1,FALSE)&lt;&gt;"WREF",
          IF(VLOOKUP(AM$2,'TIS Site Config'!$A$3:$AQ$51,18,FALSE)="Combined",
                                (VLOOKUP(AM$2,'TIS Site Config'!$A$3:$AQ$51,17,FALSE)-2),
                                IF(VLOOKUP(AM$2,'TIS Site Config'!$A$3:$AQ$51,18,FALSE)="Split",
                                      (VLOOKUP(AM$2,'TIS Site Config'!$A$3:$AQ$51,17,FALSE)-2)*2,
                                       0)
                                       ),0),0)</f>
        <v>4</v>
      </c>
      <c r="AN40" s="240">
        <f>IF(VLOOKUP(AN$2,'TIS Site Config'!$A$4:$AQ$51,3,FALSE)&lt;&gt;"Soft",
          IF(VLOOKUP(AN$2,'TIS Site Config'!$A$3:$AQ$51,1,FALSE)&lt;&gt;"WREF",
          IF(VLOOKUP(AN$2,'TIS Site Config'!$A$3:$AQ$51,18,FALSE)="Combined",
                                (VLOOKUP(AN$2,'TIS Site Config'!$A$3:$AQ$51,17,FALSE)-2),
                                IF(VLOOKUP(AN$2,'TIS Site Config'!$A$3:$AQ$51,18,FALSE)="Split",
                                      (VLOOKUP(AN$2,'TIS Site Config'!$A$3:$AQ$51,17,FALSE)-2)*2,
                                       0)
                                       ),0),0)</f>
        <v>3</v>
      </c>
      <c r="AO40" s="139">
        <f>IF(VLOOKUP(AO$2,'TIS Site Config'!$A$4:$AQ$51,3,FALSE)&lt;&gt;"Soft",
          IF(VLOOKUP(AO$2,'TIS Site Config'!$A$3:$AQ$51,1,FALSE)&lt;&gt;"WREF",
          IF(VLOOKUP(AO$2,'TIS Site Config'!$A$3:$AQ$51,18,FALSE)="Combined",
                                (VLOOKUP(AO$2,'TIS Site Config'!$A$3:$AQ$51,17,FALSE)-2),
                                IF(VLOOKUP(AO$2,'TIS Site Config'!$A$3:$AQ$51,18,FALSE)="Split",
                                      (VLOOKUP(AO$2,'TIS Site Config'!$A$3:$AQ$51,17,FALSE)-2)*2,
                                       0)
                                       ),0),0)</f>
        <v>6</v>
      </c>
      <c r="AP40" s="239">
        <f>IF(VLOOKUP(AP$2,'TIS Site Config'!$A$4:$AQ$51,3,FALSE)&lt;&gt;"Soft",
          IF(VLOOKUP(AP$2,'TIS Site Config'!$A$3:$AQ$51,1,FALSE)&lt;&gt;"WREF",
          IF(VLOOKUP(AP$2,'TIS Site Config'!$A$3:$AQ$51,18,FALSE)="Combined",
                                (VLOOKUP(AP$2,'TIS Site Config'!$A$3:$AQ$51,17,FALSE)-2),
                                IF(VLOOKUP(AP$2,'TIS Site Config'!$A$3:$AQ$51,18,FALSE)="Split",
                                      (VLOOKUP(AP$2,'TIS Site Config'!$A$3:$AQ$51,17,FALSE)-2)*2,
                                       0)
                                       ),0),0)</f>
        <v>4</v>
      </c>
      <c r="AQ40" s="139">
        <f>IF(VLOOKUP(AQ$2,'TIS Site Config'!$A$4:$AQ$51,3,FALSE)&lt;&gt;"Soft",
          IF(VLOOKUP(AQ$2,'TIS Site Config'!$A$3:$AQ$51,1,FALSE)&lt;&gt;"WREF",
          IF(VLOOKUP(AQ$2,'TIS Site Config'!$A$3:$AQ$51,18,FALSE)="Combined",
                                (VLOOKUP(AQ$2,'TIS Site Config'!$A$3:$AQ$51,17,FALSE)-2),
                                IF(VLOOKUP(AQ$2,'TIS Site Config'!$A$3:$AQ$51,18,FALSE)="Split",
                                      (VLOOKUP(AQ$2,'TIS Site Config'!$A$3:$AQ$51,17,FALSE)-2)*2,
                                       0)
                                       ),0),0)</f>
        <v>4</v>
      </c>
      <c r="AR40" s="139">
        <f>IF(VLOOKUP(AR$2,'TIS Site Config'!$A$4:$AQ$51,3,FALSE)&lt;&gt;"Soft",
          IF(VLOOKUP(AR$2,'TIS Site Config'!$A$3:$AQ$51,1,FALSE)&lt;&gt;"WREF",
          IF(VLOOKUP(AR$2,'TIS Site Config'!$A$3:$AQ$51,18,FALSE)="Combined",
                                (VLOOKUP(AR$2,'TIS Site Config'!$A$3:$AQ$51,17,FALSE)-2),
                                IF(VLOOKUP(AR$2,'TIS Site Config'!$A$3:$AQ$51,18,FALSE)="Split",
                                      (VLOOKUP(AR$2,'TIS Site Config'!$A$3:$AQ$51,17,FALSE)-2)*2,
                                       0)
                                       ),0),0)</f>
        <v>4</v>
      </c>
      <c r="AS40" s="239">
        <f>IF(VLOOKUP(AS$2,'TIS Site Config'!$A$4:$AQ$51,3,FALSE)&lt;&gt;"Soft",
          IF(VLOOKUP(AS$2,'TIS Site Config'!$A$3:$AQ$51,1,FALSE)&lt;&gt;"WREF",
          IF(VLOOKUP(AS$2,'TIS Site Config'!$A$3:$AQ$51,18,FALSE)="Combined",
                                (VLOOKUP(AS$2,'TIS Site Config'!$A$3:$AQ$51,17,FALSE)-2),
                                IF(VLOOKUP(AS$2,'TIS Site Config'!$A$3:$AQ$51,18,FALSE)="Split",
                                      (VLOOKUP(AS$2,'TIS Site Config'!$A$3:$AQ$51,17,FALSE)-2)*2,
                                       0)
                                       ),0),0)</f>
        <v>2</v>
      </c>
      <c r="AT40" s="139">
        <f>IF(VLOOKUP(AT$2,'TIS Site Config'!$A$4:$AQ$51,3,FALSE)&lt;&gt;"Soft",
          IF(VLOOKUP(AT$2,'TIS Site Config'!$A$3:$AQ$51,1,FALSE)&lt;&gt;"WREF",
          IF(VLOOKUP(AT$2,'TIS Site Config'!$A$3:$AQ$51,18,FALSE)="Combined",
                                (VLOOKUP(AT$2,'TIS Site Config'!$A$3:$AQ$51,17,FALSE)-2),
                                IF(VLOOKUP(AT$2,'TIS Site Config'!$A$3:$AQ$51,18,FALSE)="Split",
                                      (VLOOKUP(AT$2,'TIS Site Config'!$A$3:$AQ$51,17,FALSE)-2)*2,
                                       0)
                                       ),0),0)</f>
        <v>2</v>
      </c>
      <c r="AU40" s="239">
        <f>IF(VLOOKUP(AU$2,'TIS Site Config'!$A$4:$AQ$51,3,FALSE)&lt;&gt;"Soft",
          IF(VLOOKUP(AU$2,'TIS Site Config'!$A$3:$AQ$51,1,FALSE)&lt;&gt;"WREF",
          IF(VLOOKUP(AU$2,'TIS Site Config'!$A$3:$AQ$51,18,FALSE)="Combined",
                                (VLOOKUP(AU$2,'TIS Site Config'!$A$3:$AQ$51,17,FALSE)-2),
                                IF(VLOOKUP(AU$2,'TIS Site Config'!$A$3:$AQ$51,18,FALSE)="Split",
                                      (VLOOKUP(AU$2,'TIS Site Config'!$A$3:$AQ$51,17,FALSE)-2)*2,
                                       0)
                                       ),0),0)</f>
        <v>2</v>
      </c>
      <c r="AV40" s="139">
        <f>IF(VLOOKUP(AV$2,'TIS Site Config'!$A$4:$AQ$51,3,FALSE)&lt;&gt;"Soft",
          IF(VLOOKUP(AV$2,'TIS Site Config'!$A$3:$AQ$51,1,FALSE)&lt;&gt;"WREF",
          IF(VLOOKUP(AV$2,'TIS Site Config'!$A$3:$AQ$51,18,FALSE)="Combined",
                                (VLOOKUP(AV$2,'TIS Site Config'!$A$3:$AQ$51,17,FALSE)-2),
                                IF(VLOOKUP(AV$2,'TIS Site Config'!$A$3:$AQ$51,18,FALSE)="Split",
                                      (VLOOKUP(AV$2,'TIS Site Config'!$A$3:$AQ$51,17,FALSE)-2)*2,
                                       0)
                                       ),0),0)</f>
        <v>2</v>
      </c>
      <c r="AW40" s="139">
        <f>IF(VLOOKUP(AW$2,'TIS Site Config'!$A$4:$AQ$51,3,FALSE)&lt;&gt;"Soft",
          IF(VLOOKUP(AW$2,'TIS Site Config'!$A$3:$AQ$51,1,FALSE)&lt;&gt;"WREF",
          IF(VLOOKUP(AW$2,'TIS Site Config'!$A$3:$AQ$51,18,FALSE)="Combined",
                                (VLOOKUP(AW$2,'TIS Site Config'!$A$3:$AQ$51,17,FALSE)-2),
                                IF(VLOOKUP(AW$2,'TIS Site Config'!$A$3:$AQ$51,18,FALSE)="Split",
                                      (VLOOKUP(AW$2,'TIS Site Config'!$A$3:$AQ$51,17,FALSE)-2)*2,
                                       0)
                                       ),0),0)</f>
        <v>0</v>
      </c>
      <c r="AX40" s="240">
        <f>IF(VLOOKUP(AX$2,'TIS Site Config'!$A$4:$AQ$51,3,FALSE)&lt;&gt;"Soft",
          IF(VLOOKUP(AX$2,'TIS Site Config'!$A$3:$AQ$51,1,FALSE)&lt;&gt;"WREF",
          IF(VLOOKUP(AX$2,'TIS Site Config'!$A$3:$AQ$51,18,FALSE)="Combined",
                                (VLOOKUP(AX$2,'TIS Site Config'!$A$3:$AQ$51,17,FALSE)-2),
                                IF(VLOOKUP(AX$2,'TIS Site Config'!$A$3:$AQ$51,18,FALSE)="Split",
                                      (VLOOKUP(AX$2,'TIS Site Config'!$A$3:$AQ$51,17,FALSE)-2)*2,
                                       0)
                                       ),0),0)</f>
        <v>3</v>
      </c>
      <c r="AY40" s="139">
        <f>IF(VLOOKUP(AY$2,'TIS Site Config'!$A$4:$AQ$51,3,FALSE)&lt;&gt;"Soft",
          IF(VLOOKUP(AY$2,'TIS Site Config'!$A$3:$AQ$51,1,FALSE)&lt;&gt;"WREF",
          IF(VLOOKUP(AY$2,'TIS Site Config'!$A$3:$AQ$51,18,FALSE)="Combined",
                                (VLOOKUP(AY$2,'TIS Site Config'!$A$3:$AQ$51,17,FALSE)-2),
                                IF(VLOOKUP(AY$2,'TIS Site Config'!$A$3:$AQ$51,18,FALSE)="Split",
                                      (VLOOKUP(AY$2,'TIS Site Config'!$A$3:$AQ$51,17,FALSE)-2)*2,
                                       0)
                                       ),0),0)</f>
        <v>8</v>
      </c>
      <c r="AZ40" s="239">
        <f>IF(VLOOKUP(AZ$2,'TIS Site Config'!$A$4:$AQ$51,3,FALSE)&lt;&gt;"Soft",
          IF(VLOOKUP(AZ$2,'TIS Site Config'!$A$3:$AQ$51,1,FALSE)&lt;&gt;"WREF",
          IF(VLOOKUP(AZ$2,'TIS Site Config'!$A$3:$AQ$51,18,FALSE)="Combined",
                                (VLOOKUP(AZ$2,'TIS Site Config'!$A$3:$AQ$51,17,FALSE)-2),
                                IF(VLOOKUP(AZ$2,'TIS Site Config'!$A$3:$AQ$51,18,FALSE)="Split",
                                      (VLOOKUP(AZ$2,'TIS Site Config'!$A$3:$AQ$51,17,FALSE)-2)*2,
                                       0)
                                       ),0),0)</f>
        <v>8</v>
      </c>
      <c r="BA40" s="241">
        <f>IF(VLOOKUP(BA$2,'TIS Site Config'!$A$4:$AQ$51,3,FALSE)&lt;&gt;"Soft",
          IF(VLOOKUP(BA$2,'TIS Site Config'!$A$3:$AQ$51,1,FALSE)&lt;&gt;"WREF",
          IF(VLOOKUP(BA$2,'TIS Site Config'!$A$3:$AQ$51,18,FALSE)="Combined",
                                (VLOOKUP(BA$2,'TIS Site Config'!$A$3:$AQ$51,17,FALSE)-2),
                                IF(VLOOKUP(BA$2,'TIS Site Config'!$A$3:$AQ$51,18,FALSE)="Split",
                                      (VLOOKUP(BA$2,'TIS Site Config'!$A$3:$AQ$51,17,FALSE)-2)*2,
                                       0)
                                       ),0),0)</f>
        <v>5</v>
      </c>
      <c r="BB40" s="139">
        <f>IF(VLOOKUP(BB$2,'TIS Site Config'!$A$4:$AQ$51,3,FALSE)&lt;&gt;"Soft",
          IF(VLOOKUP(BB$2,'TIS Site Config'!$A$3:$AQ$51,1,FALSE)&lt;&gt;"WREF",
          IF(VLOOKUP(BB$2,'TIS Site Config'!$A$3:$AQ$51,18,FALSE)="Combined",
                                (VLOOKUP(BB$2,'TIS Site Config'!$A$3:$AQ$51,17,FALSE)-2),
                                IF(VLOOKUP(BB$2,'TIS Site Config'!$A$3:$AQ$51,18,FALSE)="Split",
                                      (VLOOKUP(BB$2,'TIS Site Config'!$A$3:$AQ$51,17,FALSE)-2)*2,
                                       0)
                                       ),0),0)</f>
        <v>4</v>
      </c>
      <c r="BC40" s="240">
        <f>IF(VLOOKUP(BC$2,'TIS Site Config'!$A$4:$AQ$51,3,FALSE)&lt;&gt;"Soft",
          IF(VLOOKUP(BC$2,'TIS Site Config'!$A$3:$AQ$51,1,FALSE)&lt;&gt;"WREF",
          IF(VLOOKUP(BC$2,'TIS Site Config'!$A$3:$AQ$51,18,FALSE)="Combined",
                                (VLOOKUP(BC$2,'TIS Site Config'!$A$3:$AQ$51,17,FALSE)-2),
                                IF(VLOOKUP(BC$2,'TIS Site Config'!$A$3:$AQ$51,18,FALSE)="Split",
                                      (VLOOKUP(BC$2,'TIS Site Config'!$A$3:$AQ$51,17,FALSE)-2)*2,
                                       0)
                                       ),0),0)</f>
        <v>2</v>
      </c>
      <c r="BD40" s="139">
        <f>IF(VLOOKUP(BD$2,'TIS Site Config'!$A$4:$AQ$51,3,FALSE)&lt;&gt;"Soft",
          IF(VLOOKUP(BD$2,'TIS Site Config'!$A$3:$AQ$51,1,FALSE)&lt;&gt;"WREF",
          IF(VLOOKUP(BD$2,'TIS Site Config'!$A$3:$AQ$51,18,FALSE)="Combined",
                                (VLOOKUP(BD$2,'TIS Site Config'!$A$3:$AQ$51,17,FALSE)-2),
                                IF(VLOOKUP(BD$2,'TIS Site Config'!$A$3:$AQ$51,18,FALSE)="Split",
                                      (VLOOKUP(BD$2,'TIS Site Config'!$A$3:$AQ$51,17,FALSE)-2)*2,
                                       0)
                                       ),0),0)</f>
        <v>3</v>
      </c>
      <c r="BE40" s="239">
        <f>IF(VLOOKUP(BE$2,'TIS Site Config'!$A$4:$AQ$51,3,FALSE)&lt;&gt;"Soft",
          IF(VLOOKUP(BE$2,'TIS Site Config'!$A$3:$AQ$51,1,FALSE)&lt;&gt;"WREF",
          IF(VLOOKUP(BE$2,'TIS Site Config'!$A$3:$AQ$51,18,FALSE)="Combined",
                                (VLOOKUP(BE$2,'TIS Site Config'!$A$3:$AQ$51,17,FALSE)-2),
                                IF(VLOOKUP(BE$2,'TIS Site Config'!$A$3:$AQ$51,18,FALSE)="Split",
                                      (VLOOKUP(BE$2,'TIS Site Config'!$A$3:$AQ$51,17,FALSE)-2)*2,
                                       0)
                                       ),0),0)</f>
        <v>3</v>
      </c>
      <c r="BF40" s="240">
        <f>IF(VLOOKUP(BF$2,'TIS Site Config'!$A$4:$AQ$51,3,FALSE)&lt;&gt;"Soft",
          IF(VLOOKUP(BF$2,'TIS Site Config'!$A$3:$AQ$51,1,FALSE)&lt;&gt;"WREF",
          IF(VLOOKUP(BF$2,'TIS Site Config'!$A$3:$AQ$51,18,FALSE)="Combined",
                                (VLOOKUP(BF$2,'TIS Site Config'!$A$3:$AQ$51,17,FALSE)-2),
                                IF(VLOOKUP(BF$2,'TIS Site Config'!$A$3:$AQ$51,18,FALSE)="Split",
                                      (VLOOKUP(BF$2,'TIS Site Config'!$A$3:$AQ$51,17,FALSE)-2)*2,
                                       0)
                                       ),0),0)</f>
        <v>2</v>
      </c>
      <c r="BG40" s="65">
        <f>IF(VLOOKUP(BG$2,'TIS Site Config'!$A$4:$AQ$51,3,FALSE)&lt;&gt;"Soft",
          IF(VLOOKUP(BG$2,'TIS Site Config'!$A$3:$AQ$51,1,FALSE)&lt;&gt;"WREF",
          IF(VLOOKUP(BG$2,'TIS Site Config'!$A$3:$AQ$51,18,FALSE)="Combined",
                                (VLOOKUP(BG$2,'TIS Site Config'!$A$3:$AQ$51,17,FALSE)-2),
                                IF(VLOOKUP(BG$2,'TIS Site Config'!$A$3:$AQ$51,18,FALSE)="Split",
                                      (VLOOKUP(BG$2,'TIS Site Config'!$A$3:$AQ$51,17,FALSE)-2)*2,
                                       0)
                                       ),0),0)</f>
        <v>4</v>
      </c>
      <c r="BH40" s="65">
        <f>IF(VLOOKUP(BH$2,'TIS Site Config'!$A$4:$AQ$51,3,FALSE)&lt;&gt;"Soft",
          IF(VLOOKUP(BH$2,'TIS Site Config'!$A$3:$AQ$51,1,FALSE)&lt;&gt;"WREF",
          IF(VLOOKUP(BH$2,'TIS Site Config'!$A$3:$AQ$51,18,FALSE)="Combined",
                                (VLOOKUP(BH$2,'TIS Site Config'!$A$3:$AQ$51,17,FALSE)-2),
                                IF(VLOOKUP(BH$2,'TIS Site Config'!$A$3:$AQ$51,18,FALSE)="Split",
                                      (VLOOKUP(BH$2,'TIS Site Config'!$A$3:$AQ$51,17,FALSE)-2)*2,
                                       0)
                                       ),0),0)</f>
        <v>4</v>
      </c>
      <c r="BK40" s="3">
        <v>233</v>
      </c>
      <c r="BL40" s="950" t="b">
        <f t="shared" si="3"/>
        <v>0</v>
      </c>
      <c r="BO40" s="950"/>
    </row>
    <row r="41" spans="1:67" s="44" customFormat="1" ht="15.75" thickBot="1" x14ac:dyDescent="0.3">
      <c r="A41" s="1378"/>
      <c r="B41" s="1339"/>
      <c r="C41" s="67" t="s">
        <v>572</v>
      </c>
      <c r="D41" s="92">
        <v>4</v>
      </c>
      <c r="E41" s="116" t="s">
        <v>1199</v>
      </c>
      <c r="F41" s="68">
        <f t="shared" si="1"/>
        <v>12</v>
      </c>
      <c r="G41" s="444"/>
      <c r="H41" s="445"/>
      <c r="I41" s="445"/>
      <c r="J41" s="445"/>
      <c r="K41" s="446"/>
      <c r="L41" s="489"/>
      <c r="M41" s="135">
        <f xml:space="preserve"> IF(VLOOKUP(M$2,'TIS Site Config'!$A$4:$AQ$51,3,FALSE)&lt;&gt;"Soft",
          IF(VLOOKUP(M$2,'TIS Site Config'!$A$3:$AQ$51,1,FALSE)="WREF",
          IF(VLOOKUP(M$2,'TIS Site Config'!$A$3:$AQ$51,18,FALSE)="Combined",
                                (VLOOKUP(M$2,'TIS Site Config'!$A$3:$AQ$51,17,FALSE)-2),
                                IF(VLOOKUP(M$2,'TIS Site Config'!$A$3:$AQ$51,18,FALSE)="Split",
                                      (VLOOKUP(M$2,'TIS Site Config'!$A$3:$AQ$51,17,FALSE)-2)*2,
                                       0)
                                       ),0),0)</f>
        <v>0</v>
      </c>
      <c r="N41" s="217">
        <f xml:space="preserve"> IF(VLOOKUP(N$2,'TIS Site Config'!$A$4:$AQ$51,3,FALSE)&lt;&gt;"Soft",
          IF(VLOOKUP(N$2,'TIS Site Config'!$A$3:$AQ$51,1,FALSE)="WREF",
          IF(VLOOKUP(N$2,'TIS Site Config'!$A$3:$AQ$51,18,FALSE)="Combined",
                                (VLOOKUP(N$2,'TIS Site Config'!$A$3:$AQ$51,17,FALSE)-2),
                                IF(VLOOKUP(N$2,'TIS Site Config'!$A$3:$AQ$51,18,FALSE)="Split",
                                      (VLOOKUP(N$2,'TIS Site Config'!$A$3:$AQ$51,17,FALSE)-2)*2,
                                       0)
                                       ),0),0)</f>
        <v>0</v>
      </c>
      <c r="O41" s="221">
        <f xml:space="preserve"> IF(VLOOKUP(O$2,'TIS Site Config'!$A$4:$AQ$51,3,FALSE)&lt;&gt;"Soft",
          IF(VLOOKUP(O$2,'TIS Site Config'!$A$3:$AQ$51,1,FALSE)="WREF",
          IF(VLOOKUP(O$2,'TIS Site Config'!$A$3:$AQ$51,18,FALSE)="Combined",
                                (VLOOKUP(O$2,'TIS Site Config'!$A$3:$AQ$51,17,FALSE)-2),
                                IF(VLOOKUP(O$2,'TIS Site Config'!$A$3:$AQ$51,18,FALSE)="Split",
                                      (VLOOKUP(O$2,'TIS Site Config'!$A$3:$AQ$51,17,FALSE)-2)*2,
                                       0)
                                       ),0),0)</f>
        <v>0</v>
      </c>
      <c r="P41" s="216">
        <f xml:space="preserve"> IF(VLOOKUP(P$2,'TIS Site Config'!$A$4:$AQ$51,3,FALSE)&lt;&gt;"Soft",
          IF(VLOOKUP(P$2,'TIS Site Config'!$A$3:$AQ$51,1,FALSE)="WREF",
          IF(VLOOKUP(P$2,'TIS Site Config'!$A$3:$AQ$51,18,FALSE)="Combined",
                                (VLOOKUP(P$2,'TIS Site Config'!$A$3:$AQ$51,17,FALSE)-2),
                                IF(VLOOKUP(P$2,'TIS Site Config'!$A$3:$AQ$51,18,FALSE)="Split",
                                      (VLOOKUP(P$2,'TIS Site Config'!$A$3:$AQ$51,17,FALSE)-2)*2,
                                       0)
                                       ),0),0)</f>
        <v>0</v>
      </c>
      <c r="Q41" s="217">
        <f xml:space="preserve"> IF(VLOOKUP(Q$2,'TIS Site Config'!$A$4:$AQ$51,3,FALSE)&lt;&gt;"Soft",
          IF(VLOOKUP(Q$2,'TIS Site Config'!$A$3:$AQ$51,1,FALSE)="WREF",
          IF(VLOOKUP(Q$2,'TIS Site Config'!$A$3:$AQ$51,18,FALSE)="Combined",
                                (VLOOKUP(Q$2,'TIS Site Config'!$A$3:$AQ$51,17,FALSE)-2),
                                IF(VLOOKUP(Q$2,'TIS Site Config'!$A$3:$AQ$51,18,FALSE)="Split",
                                      (VLOOKUP(Q$2,'TIS Site Config'!$A$3:$AQ$51,17,FALSE)-2)*2,
                                       0)
                                       ),0),0)</f>
        <v>0</v>
      </c>
      <c r="R41" s="135">
        <f xml:space="preserve"> IF(VLOOKUP(R$2,'TIS Site Config'!$A$4:$AQ$51,3,FALSE)&lt;&gt;"Soft",
          IF(VLOOKUP(R$2,'TIS Site Config'!$A$3:$AQ$51,1,FALSE)="WREF",
          IF(VLOOKUP(R$2,'TIS Site Config'!$A$3:$AQ$51,18,FALSE)="Combined",
                                (VLOOKUP(R$2,'TIS Site Config'!$A$3:$AQ$51,17,FALSE)-2),
                                IF(VLOOKUP(R$2,'TIS Site Config'!$A$3:$AQ$51,18,FALSE)="Split",
                                      (VLOOKUP(R$2,'TIS Site Config'!$A$3:$AQ$51,17,FALSE)-2)*2,
                                       0)
                                       ),0),0)</f>
        <v>0</v>
      </c>
      <c r="S41" s="216">
        <f xml:space="preserve"> IF(VLOOKUP(S$2,'TIS Site Config'!$A$4:$AQ$51,3,FALSE)&lt;&gt;"Soft",
          IF(VLOOKUP(S$2,'TIS Site Config'!$A$3:$AQ$51,1,FALSE)="WREF",
          IF(VLOOKUP(S$2,'TIS Site Config'!$A$3:$AQ$51,18,FALSE)="Combined",
                                (VLOOKUP(S$2,'TIS Site Config'!$A$3:$AQ$51,17,FALSE)-2),
                                IF(VLOOKUP(S$2,'TIS Site Config'!$A$3:$AQ$51,18,FALSE)="Split",
                                      (VLOOKUP(S$2,'TIS Site Config'!$A$3:$AQ$51,17,FALSE)-2)*2,
                                       0)
                                       ),0),0)</f>
        <v>0</v>
      </c>
      <c r="T41" s="217">
        <f xml:space="preserve"> IF(VLOOKUP(T$2,'TIS Site Config'!$A$4:$AQ$51,3,FALSE)&lt;&gt;"Soft",
          IF(VLOOKUP(T$2,'TIS Site Config'!$A$3:$AQ$51,1,FALSE)="WREF",
          IF(VLOOKUP(T$2,'TIS Site Config'!$A$3:$AQ$51,18,FALSE)="Combined",
                                (VLOOKUP(T$2,'TIS Site Config'!$A$3:$AQ$51,17,FALSE)-2),
                                IF(VLOOKUP(T$2,'TIS Site Config'!$A$3:$AQ$51,18,FALSE)="Split",
                                      (VLOOKUP(T$2,'TIS Site Config'!$A$3:$AQ$51,17,FALSE)-2)*2,
                                       0)
                                       ),0),0)</f>
        <v>0</v>
      </c>
      <c r="U41" s="135">
        <f xml:space="preserve"> IF(VLOOKUP(U$2,'TIS Site Config'!$A$4:$AQ$51,3,FALSE)&lt;&gt;"Soft",
          IF(VLOOKUP(U$2,'TIS Site Config'!$A$3:$AQ$51,1,FALSE)="WREF",
          IF(VLOOKUP(U$2,'TIS Site Config'!$A$3:$AQ$51,18,FALSE)="Combined",
                                (VLOOKUP(U$2,'TIS Site Config'!$A$3:$AQ$51,17,FALSE)-2),
                                IF(VLOOKUP(U$2,'TIS Site Config'!$A$3:$AQ$51,18,FALSE)="Split",
                                      (VLOOKUP(U$2,'TIS Site Config'!$A$3:$AQ$51,17,FALSE)-2)*2,
                                       0)
                                       ),0),0)</f>
        <v>0</v>
      </c>
      <c r="V41" s="217">
        <f xml:space="preserve"> IF(VLOOKUP(V$2,'TIS Site Config'!$A$4:$AQ$51,3,FALSE)&lt;&gt;"Soft",
          IF(VLOOKUP(V$2,'TIS Site Config'!$A$3:$AQ$51,1,FALSE)="WREF",
          IF(VLOOKUP(V$2,'TIS Site Config'!$A$3:$AQ$51,18,FALSE)="Combined",
                                (VLOOKUP(V$2,'TIS Site Config'!$A$3:$AQ$51,17,FALSE)-2),
                                IF(VLOOKUP(V$2,'TIS Site Config'!$A$3:$AQ$51,18,FALSE)="Split",
                                      (VLOOKUP(V$2,'TIS Site Config'!$A$3:$AQ$51,17,FALSE)-2)*2,
                                       0)
                                       ),0),0)</f>
        <v>0</v>
      </c>
      <c r="W41" s="220">
        <f xml:space="preserve"> IF(VLOOKUP(W$2,'TIS Site Config'!$A$4:$AQ$51,3,FALSE)&lt;&gt;"Soft",
          IF(VLOOKUP(W$2,'TIS Site Config'!$A$3:$AQ$51,1,FALSE)="WREF",
          IF(VLOOKUP(W$2,'TIS Site Config'!$A$3:$AQ$51,18,FALSE)="Combined",
                                (VLOOKUP(W$2,'TIS Site Config'!$A$3:$AQ$51,17,FALSE)-2),
                                IF(VLOOKUP(W$2,'TIS Site Config'!$A$3:$AQ$51,18,FALSE)="Split",
                                      (VLOOKUP(W$2,'TIS Site Config'!$A$3:$AQ$51,17,FALSE)-2)*2,
                                       0)
                                       ),0),0)</f>
        <v>0</v>
      </c>
      <c r="X41" s="216">
        <f xml:space="preserve"> IF(VLOOKUP(X$2,'TIS Site Config'!$A$4:$AQ$51,3,FALSE)&lt;&gt;"Soft",
          IF(VLOOKUP(X$2,'TIS Site Config'!$A$3:$AQ$51,1,FALSE)="WREF",
          IF(VLOOKUP(X$2,'TIS Site Config'!$A$3:$AQ$51,18,FALSE)="Combined",
                                (VLOOKUP(X$2,'TIS Site Config'!$A$3:$AQ$51,17,FALSE)-2),
                                IF(VLOOKUP(X$2,'TIS Site Config'!$A$3:$AQ$51,18,FALSE)="Split",
                                      (VLOOKUP(X$2,'TIS Site Config'!$A$3:$AQ$51,17,FALSE)-2)*2,
                                       0)
                                       ),0),0)</f>
        <v>0</v>
      </c>
      <c r="Y41" s="217">
        <f xml:space="preserve"> IF(VLOOKUP(Y$2,'TIS Site Config'!$A$4:$AQ$51,3,FALSE)&lt;&gt;"Soft",
          IF(VLOOKUP(Y$2,'TIS Site Config'!$A$3:$AQ$51,1,FALSE)="WREF",
          IF(VLOOKUP(Y$2,'TIS Site Config'!$A$3:$AQ$51,18,FALSE)="Combined",
                                (VLOOKUP(Y$2,'TIS Site Config'!$A$3:$AQ$51,17,FALSE)-2),
                                IF(VLOOKUP(Y$2,'TIS Site Config'!$A$3:$AQ$51,18,FALSE)="Split",
                                      (VLOOKUP(Y$2,'TIS Site Config'!$A$3:$AQ$51,17,FALSE)-2)*2,
                                       0)
                                       ),0),0)</f>
        <v>0</v>
      </c>
      <c r="Z41" s="135">
        <f xml:space="preserve"> IF(VLOOKUP(Z$2,'TIS Site Config'!$A$4:$AQ$51,3,FALSE)&lt;&gt;"Soft",
          IF(VLOOKUP(Z$2,'TIS Site Config'!$A$3:$AQ$51,1,FALSE)="WREF",
          IF(VLOOKUP(Z$2,'TIS Site Config'!$A$3:$AQ$51,18,FALSE)="Combined",
                                (VLOOKUP(Z$2,'TIS Site Config'!$A$3:$AQ$51,17,FALSE)-2),
                                IF(VLOOKUP(Z$2,'TIS Site Config'!$A$3:$AQ$51,18,FALSE)="Split",
                                      (VLOOKUP(Z$2,'TIS Site Config'!$A$3:$AQ$51,17,FALSE)-2)*2,
                                       0)
                                       ),0),0)</f>
        <v>0</v>
      </c>
      <c r="AA41" s="216">
        <f xml:space="preserve"> IF(VLOOKUP(AA$2,'TIS Site Config'!$A$4:$AQ$51,3,FALSE)&lt;&gt;"Soft",
          IF(VLOOKUP(AA$2,'TIS Site Config'!$A$3:$AQ$51,1,FALSE)="WREF",
          IF(VLOOKUP(AA$2,'TIS Site Config'!$A$3:$AQ$51,18,FALSE)="Combined",
                                (VLOOKUP(AA$2,'TIS Site Config'!$A$3:$AQ$51,17,FALSE)-2),
                                IF(VLOOKUP(AA$2,'TIS Site Config'!$A$3:$AQ$51,18,FALSE)="Split",
                                      (VLOOKUP(AA$2,'TIS Site Config'!$A$3:$AQ$51,17,FALSE)-2)*2,
                                       0)
                                       ),0),0)</f>
        <v>0</v>
      </c>
      <c r="AB41" s="217">
        <f xml:space="preserve"> IF(VLOOKUP(AB$2,'TIS Site Config'!$A$4:$AQ$51,3,FALSE)&lt;&gt;"Soft",
          IF(VLOOKUP(AB$2,'TIS Site Config'!$A$3:$AQ$51,1,FALSE)="WREF",
          IF(VLOOKUP(AB$2,'TIS Site Config'!$A$3:$AQ$51,18,FALSE)="Combined",
                                (VLOOKUP(AB$2,'TIS Site Config'!$A$3:$AQ$51,17,FALSE)-2),
                                IF(VLOOKUP(AB$2,'TIS Site Config'!$A$3:$AQ$51,18,FALSE)="Split",
                                      (VLOOKUP(AB$2,'TIS Site Config'!$A$3:$AQ$51,17,FALSE)-2)*2,
                                       0)
                                       ),0),0)</f>
        <v>0</v>
      </c>
      <c r="AC41" s="216">
        <f xml:space="preserve"> IF(VLOOKUP(AC$2,'TIS Site Config'!$A$4:$AQ$51,3,FALSE)&lt;&gt;"Soft",
          IF(VLOOKUP(AC$2,'TIS Site Config'!$A$3:$AQ$51,1,FALSE)="WREF",
          IF(VLOOKUP(AC$2,'TIS Site Config'!$A$3:$AQ$51,18,FALSE)="Combined",
                                (VLOOKUP(AC$2,'TIS Site Config'!$A$3:$AQ$51,17,FALSE)-2),
                                IF(VLOOKUP(AC$2,'TIS Site Config'!$A$3:$AQ$51,18,FALSE)="Split",
                                      (VLOOKUP(AC$2,'TIS Site Config'!$A$3:$AQ$51,17,FALSE)-2)*2,
                                       0)
                                       ),0),0)</f>
        <v>0</v>
      </c>
      <c r="AD41" s="218">
        <f xml:space="preserve"> IF(VLOOKUP(AD$2,'TIS Site Config'!$A$4:$AQ$51,3,FALSE)&lt;&gt;"Soft",
          IF(VLOOKUP(AD$2,'TIS Site Config'!$A$3:$AQ$51,1,FALSE)="WREF",
          IF(VLOOKUP(AD$2,'TIS Site Config'!$A$3:$AQ$51,18,FALSE)="Combined",
                                (VLOOKUP(AD$2,'TIS Site Config'!$A$3:$AQ$51,17,FALSE)-2),
                                IF(VLOOKUP(AD$2,'TIS Site Config'!$A$3:$AQ$51,18,FALSE)="Split",
                                      (VLOOKUP(AD$2,'TIS Site Config'!$A$3:$AQ$51,17,FALSE)-2)*2,
                                       0)
                                       ),0),0)</f>
        <v>0</v>
      </c>
      <c r="AE41" s="218">
        <f xml:space="preserve"> IF(VLOOKUP(AE$2,'TIS Site Config'!$A$4:$AQ$51,3,FALSE)&lt;&gt;"Soft",
          IF(VLOOKUP(AE$2,'TIS Site Config'!$A$3:$AQ$51,1,FALSE)="WREF",
          IF(VLOOKUP(AE$2,'TIS Site Config'!$A$3:$AQ$51,18,FALSE)="Combined",
                                (VLOOKUP(AE$2,'TIS Site Config'!$A$3:$AQ$51,17,FALSE)-2),
                                IF(VLOOKUP(AE$2,'TIS Site Config'!$A$3:$AQ$51,18,FALSE)="Split",
                                      (VLOOKUP(AE$2,'TIS Site Config'!$A$3:$AQ$51,17,FALSE)-2)*2,
                                       0)
                                       ),0),0)</f>
        <v>0</v>
      </c>
      <c r="AF41" s="1000">
        <f xml:space="preserve"> IF(VLOOKUP(AF$2,'TIS Site Config'!$A$4:$AQ$51,3,FALSE)&lt;&gt;"Soft",
          IF(VLOOKUP(AF$2,'TIS Site Config'!$A$3:$AQ$51,1,FALSE)="WREF",
          IF(VLOOKUP(AF$2,'TIS Site Config'!$A$3:$AQ$51,18,FALSE)="Combined",
                                (VLOOKUP(AF$2,'TIS Site Config'!$A$3:$AQ$51,17,FALSE)-2),
                                IF(VLOOKUP(AF$2,'TIS Site Config'!$A$3:$AQ$51,18,FALSE)="Split",
                                      (VLOOKUP(AF$2,'TIS Site Config'!$A$3:$AQ$51,17,FALSE)-2)*2,
                                       0)
                                       ),0),0)</f>
        <v>0</v>
      </c>
      <c r="AG41" s="216">
        <f xml:space="preserve"> IF(VLOOKUP(AG$2,'TIS Site Config'!$A$4:$AQ$51,3,FALSE)&lt;&gt;"Soft",
          IF(VLOOKUP(AG$2,'TIS Site Config'!$A$3:$AQ$51,1,FALSE)="WREF",
          IF(VLOOKUP(AG$2,'TIS Site Config'!$A$3:$AQ$51,18,FALSE)="Combined",
                                (VLOOKUP(AG$2,'TIS Site Config'!$A$3:$AQ$51,17,FALSE)-2),
                                IF(VLOOKUP(AG$2,'TIS Site Config'!$A$3:$AQ$51,18,FALSE)="Split",
                                      (VLOOKUP(AG$2,'TIS Site Config'!$A$3:$AQ$51,17,FALSE)-2)*2,
                                       0)
                                       ),0),0)</f>
        <v>0</v>
      </c>
      <c r="AH41" s="217">
        <f xml:space="preserve"> IF(VLOOKUP(AH$2,'TIS Site Config'!$A$4:$AQ$51,3,FALSE)&lt;&gt;"Soft",
          IF(VLOOKUP(AH$2,'TIS Site Config'!$A$3:$AQ$51,1,FALSE)="WREF",
          IF(VLOOKUP(AH$2,'TIS Site Config'!$A$3:$AQ$51,18,FALSE)="Combined",
                                (VLOOKUP(AH$2,'TIS Site Config'!$A$3:$AQ$51,17,FALSE)-2),
                                IF(VLOOKUP(AH$2,'TIS Site Config'!$A$3:$AQ$51,18,FALSE)="Split",
                                      (VLOOKUP(AH$2,'TIS Site Config'!$A$3:$AQ$51,17,FALSE)-2)*2,
                                       0)
                                       ),0),0)</f>
        <v>0</v>
      </c>
      <c r="AI41" s="135">
        <f xml:space="preserve"> IF(VLOOKUP(AI$2,'TIS Site Config'!$A$4:$AQ$51,3,FALSE)&lt;&gt;"Soft",
          IF(VLOOKUP(AI$2,'TIS Site Config'!$A$3:$AQ$51,1,FALSE)="WREF",
          IF(VLOOKUP(AI$2,'TIS Site Config'!$A$3:$AQ$51,18,FALSE)="Combined",
                                (VLOOKUP(AI$2,'TIS Site Config'!$A$3:$AQ$51,17,FALSE)-2),
                                IF(VLOOKUP(AI$2,'TIS Site Config'!$A$3:$AQ$51,18,FALSE)="Split",
                                      (VLOOKUP(AI$2,'TIS Site Config'!$A$3:$AQ$51,17,FALSE)-2)*2,
                                       0)
                                       ),0),0)</f>
        <v>0</v>
      </c>
      <c r="AJ41" s="216">
        <f xml:space="preserve"> IF(VLOOKUP(AJ$2,'TIS Site Config'!$A$4:$AQ$51,3,FALSE)&lt;&gt;"Soft",
          IF(VLOOKUP(AJ$2,'TIS Site Config'!$A$3:$AQ$51,1,FALSE)="WREF",
          IF(VLOOKUP(AJ$2,'TIS Site Config'!$A$3:$AQ$51,18,FALSE)="Combined",
                                (VLOOKUP(AJ$2,'TIS Site Config'!$A$3:$AQ$51,17,FALSE)-2),
                                IF(VLOOKUP(AJ$2,'TIS Site Config'!$A$3:$AQ$51,18,FALSE)="Split",
                                      (VLOOKUP(AJ$2,'TIS Site Config'!$A$3:$AQ$51,17,FALSE)-2)*2,
                                       0)
                                       ),0),0)</f>
        <v>0</v>
      </c>
      <c r="AK41" s="217">
        <f xml:space="preserve"> IF(VLOOKUP(AK$2,'TIS Site Config'!$A$4:$AQ$51,3,FALSE)&lt;&gt;"Soft",
          IF(VLOOKUP(AK$2,'TIS Site Config'!$A$3:$AQ$51,1,FALSE)="WREF",
          IF(VLOOKUP(AK$2,'TIS Site Config'!$A$3:$AQ$51,18,FALSE)="Combined",
                                (VLOOKUP(AK$2,'TIS Site Config'!$A$3:$AQ$51,17,FALSE)-2),
                                IF(VLOOKUP(AK$2,'TIS Site Config'!$A$3:$AQ$51,18,FALSE)="Split",
                                      (VLOOKUP(AK$2,'TIS Site Config'!$A$3:$AQ$51,17,FALSE)-2)*2,
                                       0)
                                       ),0),0)</f>
        <v>0</v>
      </c>
      <c r="AL41" s="135">
        <f xml:space="preserve"> IF(VLOOKUP(AL$2,'TIS Site Config'!$A$4:$AQ$51,3,FALSE)&lt;&gt;"Soft",
          IF(VLOOKUP(AL$2,'TIS Site Config'!$A$3:$AQ$51,1,FALSE)="WREF",
          IF(VLOOKUP(AL$2,'TIS Site Config'!$A$3:$AQ$51,18,FALSE)="Combined",
                                (VLOOKUP(AL$2,'TIS Site Config'!$A$3:$AQ$51,17,FALSE)-2),
                                IF(VLOOKUP(AL$2,'TIS Site Config'!$A$3:$AQ$51,18,FALSE)="Split",
                                      (VLOOKUP(AL$2,'TIS Site Config'!$A$3:$AQ$51,17,FALSE)-2)*2,
                                       0)
                                       ),0),0)</f>
        <v>0</v>
      </c>
      <c r="AM41" s="216">
        <f xml:space="preserve"> IF(VLOOKUP(AM$2,'TIS Site Config'!$A$4:$AQ$51,3,FALSE)&lt;&gt;"Soft",
          IF(VLOOKUP(AM$2,'TIS Site Config'!$A$3:$AQ$51,1,FALSE)="WREF",
          IF(VLOOKUP(AM$2,'TIS Site Config'!$A$3:$AQ$51,18,FALSE)="Combined",
                                (VLOOKUP(AM$2,'TIS Site Config'!$A$3:$AQ$51,17,FALSE)-2),
                                IF(VLOOKUP(AM$2,'TIS Site Config'!$A$3:$AQ$51,18,FALSE)="Split",
                                      (VLOOKUP(AM$2,'TIS Site Config'!$A$3:$AQ$51,17,FALSE)-2)*2,
                                       0)
                                       ),0),0)</f>
        <v>0</v>
      </c>
      <c r="AN41" s="217">
        <f xml:space="preserve"> IF(VLOOKUP(AN$2,'TIS Site Config'!$A$4:$AQ$51,3,FALSE)&lt;&gt;"Soft",
          IF(VLOOKUP(AN$2,'TIS Site Config'!$A$3:$AQ$51,1,FALSE)="WREF",
          IF(VLOOKUP(AN$2,'TIS Site Config'!$A$3:$AQ$51,18,FALSE)="Combined",
                                (VLOOKUP(AN$2,'TIS Site Config'!$A$3:$AQ$51,17,FALSE)-2),
                                IF(VLOOKUP(AN$2,'TIS Site Config'!$A$3:$AQ$51,18,FALSE)="Split",
                                      (VLOOKUP(AN$2,'TIS Site Config'!$A$3:$AQ$51,17,FALSE)-2)*2,
                                       0)
                                       ),0),0)</f>
        <v>0</v>
      </c>
      <c r="AO41" s="135">
        <f xml:space="preserve"> IF(VLOOKUP(AO$2,'TIS Site Config'!$A$4:$AQ$51,3,FALSE)&lt;&gt;"Soft",
          IF(VLOOKUP(AO$2,'TIS Site Config'!$A$3:$AQ$51,1,FALSE)="WREF",
          IF(VLOOKUP(AO$2,'TIS Site Config'!$A$3:$AQ$51,18,FALSE)="Combined",
                                (VLOOKUP(AO$2,'TIS Site Config'!$A$3:$AQ$51,17,FALSE)-2),
                                IF(VLOOKUP(AO$2,'TIS Site Config'!$A$3:$AQ$51,18,FALSE)="Split",
                                      (VLOOKUP(AO$2,'TIS Site Config'!$A$3:$AQ$51,17,FALSE)-2)*2,
                                       0)
                                       ),0),0)</f>
        <v>0</v>
      </c>
      <c r="AP41" s="216">
        <f xml:space="preserve"> IF(VLOOKUP(AP$2,'TIS Site Config'!$A$4:$AQ$51,3,FALSE)&lt;&gt;"Soft",
          IF(VLOOKUP(AP$2,'TIS Site Config'!$A$3:$AQ$51,1,FALSE)="WREF",
          IF(VLOOKUP(AP$2,'TIS Site Config'!$A$3:$AQ$51,18,FALSE)="Combined",
                                (VLOOKUP(AP$2,'TIS Site Config'!$A$3:$AQ$51,17,FALSE)-2),
                                IF(VLOOKUP(AP$2,'TIS Site Config'!$A$3:$AQ$51,18,FALSE)="Split",
                                      (VLOOKUP(AP$2,'TIS Site Config'!$A$3:$AQ$51,17,FALSE)-2)*2,
                                       0)
                                       ),0),0)</f>
        <v>0</v>
      </c>
      <c r="AQ41" s="135">
        <f xml:space="preserve"> IF(VLOOKUP(AQ$2,'TIS Site Config'!$A$4:$AQ$51,3,FALSE)&lt;&gt;"Soft",
          IF(VLOOKUP(AQ$2,'TIS Site Config'!$A$3:$AQ$51,1,FALSE)="WREF",
          IF(VLOOKUP(AQ$2,'TIS Site Config'!$A$3:$AQ$51,18,FALSE)="Combined",
                                (VLOOKUP(AQ$2,'TIS Site Config'!$A$3:$AQ$51,17,FALSE)-2),
                                IF(VLOOKUP(AQ$2,'TIS Site Config'!$A$3:$AQ$51,18,FALSE)="Split",
                                      (VLOOKUP(AQ$2,'TIS Site Config'!$A$3:$AQ$51,17,FALSE)-2)*2,
                                       0)
                                       ),0),0)</f>
        <v>0</v>
      </c>
      <c r="AR41" s="135">
        <f xml:space="preserve"> IF(VLOOKUP(AR$2,'TIS Site Config'!$A$4:$AQ$51,3,FALSE)&lt;&gt;"Soft",
          IF(VLOOKUP(AR$2,'TIS Site Config'!$A$3:$AQ$51,1,FALSE)="WREF",
          IF(VLOOKUP(AR$2,'TIS Site Config'!$A$3:$AQ$51,18,FALSE)="Combined",
                                (VLOOKUP(AR$2,'TIS Site Config'!$A$3:$AQ$51,17,FALSE)-2),
                                IF(VLOOKUP(AR$2,'TIS Site Config'!$A$3:$AQ$51,18,FALSE)="Split",
                                      (VLOOKUP(AR$2,'TIS Site Config'!$A$3:$AQ$51,17,FALSE)-2)*2,
                                       0)
                                       ),0),0)</f>
        <v>0</v>
      </c>
      <c r="AS41" s="216">
        <f xml:space="preserve"> IF(VLOOKUP(AS$2,'TIS Site Config'!$A$4:$AQ$51,3,FALSE)&lt;&gt;"Soft",
          IF(VLOOKUP(AS$2,'TIS Site Config'!$A$3:$AQ$51,1,FALSE)="WREF",
          IF(VLOOKUP(AS$2,'TIS Site Config'!$A$3:$AQ$51,18,FALSE)="Combined",
                                (VLOOKUP(AS$2,'TIS Site Config'!$A$3:$AQ$51,17,FALSE)-2),
                                IF(VLOOKUP(AS$2,'TIS Site Config'!$A$3:$AQ$51,18,FALSE)="Split",
                                      (VLOOKUP(AS$2,'TIS Site Config'!$A$3:$AQ$51,17,FALSE)-2)*2,
                                       0)
                                       ),0),0)</f>
        <v>0</v>
      </c>
      <c r="AT41" s="135">
        <f xml:space="preserve"> IF(VLOOKUP(AT$2,'TIS Site Config'!$A$4:$AQ$51,3,FALSE)&lt;&gt;"Soft",
          IF(VLOOKUP(AT$2,'TIS Site Config'!$A$3:$AQ$51,1,FALSE)="WREF",
          IF(VLOOKUP(AT$2,'TIS Site Config'!$A$3:$AQ$51,18,FALSE)="Combined",
                                (VLOOKUP(AT$2,'TIS Site Config'!$A$3:$AQ$51,17,FALSE)-2),
                                IF(VLOOKUP(AT$2,'TIS Site Config'!$A$3:$AQ$51,18,FALSE)="Split",
                                      (VLOOKUP(AT$2,'TIS Site Config'!$A$3:$AQ$51,17,FALSE)-2)*2,
                                       0)
                                       ),0),0)</f>
        <v>0</v>
      </c>
      <c r="AU41" s="216">
        <f xml:space="preserve"> IF(VLOOKUP(AU$2,'TIS Site Config'!$A$4:$AQ$51,3,FALSE)&lt;&gt;"Soft",
          IF(VLOOKUP(AU$2,'TIS Site Config'!$A$3:$AQ$51,1,FALSE)="WREF",
          IF(VLOOKUP(AU$2,'TIS Site Config'!$A$3:$AQ$51,18,FALSE)="Combined",
                                (VLOOKUP(AU$2,'TIS Site Config'!$A$3:$AQ$51,17,FALSE)-2),
                                IF(VLOOKUP(AU$2,'TIS Site Config'!$A$3:$AQ$51,18,FALSE)="Split",
                                      (VLOOKUP(AU$2,'TIS Site Config'!$A$3:$AQ$51,17,FALSE)-2)*2,
                                       0)
                                       ),0),0)</f>
        <v>0</v>
      </c>
      <c r="AV41" s="135">
        <f xml:space="preserve"> IF(VLOOKUP(AV$2,'TIS Site Config'!$A$4:$AQ$51,3,FALSE)&lt;&gt;"Soft",
          IF(VLOOKUP(AV$2,'TIS Site Config'!$A$3:$AQ$51,1,FALSE)="WREF",
          IF(VLOOKUP(AV$2,'TIS Site Config'!$A$3:$AQ$51,18,FALSE)="Combined",
                                (VLOOKUP(AV$2,'TIS Site Config'!$A$3:$AQ$51,17,FALSE)-2),
                                IF(VLOOKUP(AV$2,'TIS Site Config'!$A$3:$AQ$51,18,FALSE)="Split",
                                      (VLOOKUP(AV$2,'TIS Site Config'!$A$3:$AQ$51,17,FALSE)-2)*2,
                                       0)
                                       ),0),0)</f>
        <v>0</v>
      </c>
      <c r="AW41" s="142">
        <f xml:space="preserve"> IF(VLOOKUP(AW$2,'TIS Site Config'!$A$4:$AQ$51,3,FALSE)&lt;&gt;"Soft",
          IF(VLOOKUP(AW$2,'TIS Site Config'!$A$3:$AQ$51,1,FALSE)="WREF",
          IF(VLOOKUP(AW$2,'TIS Site Config'!$A$3:$AQ$51,18,FALSE)="Combined",
                                (VLOOKUP(AW$2,'TIS Site Config'!$A$3:$AQ$51,17,FALSE)-2),
                                IF(VLOOKUP(AW$2,'TIS Site Config'!$A$3:$AQ$51,18,FALSE)="Split",
                                      (VLOOKUP(AW$2,'TIS Site Config'!$A$3:$AQ$51,17,FALSE)-2)*2,
                                       0)
                                       ),0),0)</f>
        <v>12</v>
      </c>
      <c r="AX41" s="217">
        <f xml:space="preserve"> IF(VLOOKUP(AX$2,'TIS Site Config'!$A$4:$AQ$51,3,FALSE)&lt;&gt;"Soft",
          IF(VLOOKUP(AX$2,'TIS Site Config'!$A$3:$AQ$51,1,FALSE)="WREF",
          IF(VLOOKUP(AX$2,'TIS Site Config'!$A$3:$AQ$51,18,FALSE)="Combined",
                                (VLOOKUP(AX$2,'TIS Site Config'!$A$3:$AQ$51,17,FALSE)-2),
                                IF(VLOOKUP(AX$2,'TIS Site Config'!$A$3:$AQ$51,18,FALSE)="Split",
                                      (VLOOKUP(AX$2,'TIS Site Config'!$A$3:$AQ$51,17,FALSE)-2)*2,
                                       0)
                                       ),0),0)</f>
        <v>0</v>
      </c>
      <c r="AY41" s="135">
        <f xml:space="preserve"> IF(VLOOKUP(AY$2,'TIS Site Config'!$A$4:$AQ$51,3,FALSE)&lt;&gt;"Soft",
          IF(VLOOKUP(AY$2,'TIS Site Config'!$A$3:$AQ$51,1,FALSE)="WREF",
          IF(VLOOKUP(AY$2,'TIS Site Config'!$A$3:$AQ$51,18,FALSE)="Combined",
                                (VLOOKUP(AY$2,'TIS Site Config'!$A$3:$AQ$51,17,FALSE)-2),
                                IF(VLOOKUP(AY$2,'TIS Site Config'!$A$3:$AQ$51,18,FALSE)="Split",
                                      (VLOOKUP(AY$2,'TIS Site Config'!$A$3:$AQ$51,17,FALSE)-2)*2,
                                       0)
                                       ),0),0)</f>
        <v>0</v>
      </c>
      <c r="AZ41" s="216">
        <f xml:space="preserve"> IF(VLOOKUP(AZ$2,'TIS Site Config'!$A$4:$AQ$51,3,FALSE)&lt;&gt;"Soft",
          IF(VLOOKUP(AZ$2,'TIS Site Config'!$A$3:$AQ$51,1,FALSE)="WREF",
          IF(VLOOKUP(AZ$2,'TIS Site Config'!$A$3:$AQ$51,18,FALSE)="Combined",
                                (VLOOKUP(AZ$2,'TIS Site Config'!$A$3:$AQ$51,17,FALSE)-2),
                                IF(VLOOKUP(AZ$2,'TIS Site Config'!$A$3:$AQ$51,18,FALSE)="Split",
                                      (VLOOKUP(AZ$2,'TIS Site Config'!$A$3:$AQ$51,17,FALSE)-2)*2,
                                       0)
                                       ),0),0)</f>
        <v>0</v>
      </c>
      <c r="BA41" s="218">
        <f xml:space="preserve"> IF(VLOOKUP(BA$2,'TIS Site Config'!$A$4:$AQ$51,3,FALSE)&lt;&gt;"Soft",
          IF(VLOOKUP(BA$2,'TIS Site Config'!$A$3:$AQ$51,1,FALSE)="WREF",
          IF(VLOOKUP(BA$2,'TIS Site Config'!$A$3:$AQ$51,18,FALSE)="Combined",
                                (VLOOKUP(BA$2,'TIS Site Config'!$A$3:$AQ$51,17,FALSE)-2),
                                IF(VLOOKUP(BA$2,'TIS Site Config'!$A$3:$AQ$51,18,FALSE)="Split",
                                      (VLOOKUP(BA$2,'TIS Site Config'!$A$3:$AQ$51,17,FALSE)-2)*2,
                                       0)
                                       ),0),0)</f>
        <v>0</v>
      </c>
      <c r="BB41" s="135">
        <f xml:space="preserve"> IF(VLOOKUP(BB$2,'TIS Site Config'!$A$4:$AQ$51,3,FALSE)&lt;&gt;"Soft",
          IF(VLOOKUP(BB$2,'TIS Site Config'!$A$3:$AQ$51,1,FALSE)="WREF",
          IF(VLOOKUP(BB$2,'TIS Site Config'!$A$3:$AQ$51,18,FALSE)="Combined",
                                (VLOOKUP(BB$2,'TIS Site Config'!$A$3:$AQ$51,17,FALSE)-2),
                                IF(VLOOKUP(BB$2,'TIS Site Config'!$A$3:$AQ$51,18,FALSE)="Split",
                                      (VLOOKUP(BB$2,'TIS Site Config'!$A$3:$AQ$51,17,FALSE)-2)*2,
                                       0)
                                       ),0),0)</f>
        <v>0</v>
      </c>
      <c r="BC41" s="217">
        <f xml:space="preserve"> IF(VLOOKUP(BC$2,'TIS Site Config'!$A$4:$AQ$51,3,FALSE)&lt;&gt;"Soft",
          IF(VLOOKUP(BC$2,'TIS Site Config'!$A$3:$AQ$51,1,FALSE)="WREF",
          IF(VLOOKUP(BC$2,'TIS Site Config'!$A$3:$AQ$51,18,FALSE)="Combined",
                                (VLOOKUP(BC$2,'TIS Site Config'!$A$3:$AQ$51,17,FALSE)-2),
                                IF(VLOOKUP(BC$2,'TIS Site Config'!$A$3:$AQ$51,18,FALSE)="Split",
                                      (VLOOKUP(BC$2,'TIS Site Config'!$A$3:$AQ$51,17,FALSE)-2)*2,
                                       0)
                                       ),0),0)</f>
        <v>0</v>
      </c>
      <c r="BD41" s="135">
        <f xml:space="preserve"> IF(VLOOKUP(BD$2,'TIS Site Config'!$A$4:$AQ$51,3,FALSE)&lt;&gt;"Soft",
          IF(VLOOKUP(BD$2,'TIS Site Config'!$A$3:$AQ$51,1,FALSE)="WREF",
          IF(VLOOKUP(BD$2,'TIS Site Config'!$A$3:$AQ$51,18,FALSE)="Combined",
                                (VLOOKUP(BD$2,'TIS Site Config'!$A$3:$AQ$51,17,FALSE)-2),
                                IF(VLOOKUP(BD$2,'TIS Site Config'!$A$3:$AQ$51,18,FALSE)="Split",
                                      (VLOOKUP(BD$2,'TIS Site Config'!$A$3:$AQ$51,17,FALSE)-2)*2,
                                       0)
                                       ),0),0)</f>
        <v>0</v>
      </c>
      <c r="BE41" s="216">
        <f xml:space="preserve"> IF(VLOOKUP(BE$2,'TIS Site Config'!$A$4:$AQ$51,3,FALSE)&lt;&gt;"Soft",
          IF(VLOOKUP(BE$2,'TIS Site Config'!$A$3:$AQ$51,1,FALSE)="WREF",
          IF(VLOOKUP(BE$2,'TIS Site Config'!$A$3:$AQ$51,18,FALSE)="Combined",
                                (VLOOKUP(BE$2,'TIS Site Config'!$A$3:$AQ$51,17,FALSE)-2),
                                IF(VLOOKUP(BE$2,'TIS Site Config'!$A$3:$AQ$51,18,FALSE)="Split",
                                      (VLOOKUP(BE$2,'TIS Site Config'!$A$3:$AQ$51,17,FALSE)-2)*2,
                                       0)
                                       ),0),0)</f>
        <v>0</v>
      </c>
      <c r="BF41" s="217">
        <f xml:space="preserve"> IF(VLOOKUP(BF$2,'TIS Site Config'!$A$4:$AQ$51,3,FALSE)&lt;&gt;"Soft",
          IF(VLOOKUP(BF$2,'TIS Site Config'!$A$3:$AQ$51,1,FALSE)="WREF",
          IF(VLOOKUP(BF$2,'TIS Site Config'!$A$3:$AQ$51,18,FALSE)="Combined",
                                (VLOOKUP(BF$2,'TIS Site Config'!$A$3:$AQ$51,17,FALSE)-2),
                                IF(VLOOKUP(BF$2,'TIS Site Config'!$A$3:$AQ$51,18,FALSE)="Split",
                                      (VLOOKUP(BF$2,'TIS Site Config'!$A$3:$AQ$51,17,FALSE)-2)*2,
                                       0)
                                       ),0),0)</f>
        <v>0</v>
      </c>
      <c r="BG41" s="219">
        <f xml:space="preserve"> IF(VLOOKUP(BG$2,'TIS Site Config'!$A$4:$AQ$51,3,FALSE)&lt;&gt;"Soft",
          IF(VLOOKUP(BG$2,'TIS Site Config'!$A$3:$AQ$51,1,FALSE)="WREF",
          IF(VLOOKUP(BG$2,'TIS Site Config'!$A$3:$AQ$51,18,FALSE)="Combined",
                                (VLOOKUP(BG$2,'TIS Site Config'!$A$3:$AQ$51,17,FALSE)-2),
                                IF(VLOOKUP(BG$2,'TIS Site Config'!$A$3:$AQ$51,18,FALSE)="Split",
                                      (VLOOKUP(BG$2,'TIS Site Config'!$A$3:$AQ$51,17,FALSE)-2)*2,
                                       0)
                                       ),0),0)</f>
        <v>0</v>
      </c>
      <c r="BH41" s="219">
        <f xml:space="preserve"> IF(VLOOKUP(BH$2,'TIS Site Config'!$A$4:$AQ$51,3,FALSE)&lt;&gt;"Soft",
          IF(VLOOKUP(BH$2,'TIS Site Config'!$A$3:$AQ$51,1,FALSE)="WREF",
          IF(VLOOKUP(BH$2,'TIS Site Config'!$A$3:$AQ$51,18,FALSE)="Combined",
                                (VLOOKUP(BH$2,'TIS Site Config'!$A$3:$AQ$51,17,FALSE)-2),
                                IF(VLOOKUP(BH$2,'TIS Site Config'!$A$3:$AQ$51,18,FALSE)="Split",
                                      (VLOOKUP(BH$2,'TIS Site Config'!$A$3:$AQ$51,17,FALSE)-2)*2,
                                       0)
                                       ),0),0)</f>
        <v>0</v>
      </c>
      <c r="BK41" s="44">
        <v>12</v>
      </c>
      <c r="BL41" s="950" t="b">
        <f t="shared" si="3"/>
        <v>1</v>
      </c>
      <c r="BO41" s="950"/>
    </row>
    <row r="42" spans="1:67" ht="15.75" thickTop="1" x14ac:dyDescent="0.25">
      <c r="A42" s="1378"/>
      <c r="B42" s="1260" t="s">
        <v>67</v>
      </c>
      <c r="C42" s="72" t="s">
        <v>173</v>
      </c>
      <c r="D42" s="95">
        <v>1</v>
      </c>
      <c r="E42" s="111" t="s">
        <v>469</v>
      </c>
      <c r="F42" s="65">
        <f t="shared" si="1"/>
        <v>31</v>
      </c>
      <c r="G42" s="447"/>
      <c r="H42" s="448"/>
      <c r="I42" s="448"/>
      <c r="J42" s="448"/>
      <c r="K42" s="449"/>
      <c r="L42" s="490"/>
      <c r="M42" s="139">
        <f>IF(VLOOKUP(M$2,'TIS Site Config'!$A$4:$AQ$51,3,FALSE)&lt;&gt;"Soft",
   IF(VLOOKUP(M$2,'TIS Site Config'!$A$3:$AQ$51,6,FALSE)&lt;&gt;"Extreme Heated",
   IF(OR(VLOOKUP(M$2,'TIS Site Config'!$A$3:$AQ$51,24,FALSE)="BA",
                VLOOKUP(M$2,'TIS Site Config'!$A$3:$AQ$51,24,FALSE)="AD",
                VLOOKUP(M$2,'TIS Site Config'!$A$3:$AQ$51,24,FALSE)="DC",
                VLOOKUP(M$2,'TIS Site Config'!$A$3:$AQ$51,24,FALSE)="CB"),
                         1,0)+
  IF(AND(VLOOKUP(M$2,'TIS Site Config'!$A$3:$AQ$51,22,FALSE)="Split",
                OR(VLOOKUP(M$2,'TIS Site Config'!$A$3:$AQ$51,25,FALSE)="BA",
                VLOOKUP(M$2,'TIS Site Config'!$A$3:$AQ$51,25,FALSE)="AD",
                VLOOKUP(M$2,'TIS Site Config'!$A$3:$AQ$51,25,FALSE)="DC",
                VLOOKUP(M$2,'TIS Site Config'!$A$3:$AQ$51,25,FALSE)="CB")),
                         1,0),0),0)</f>
        <v>1</v>
      </c>
      <c r="N42" s="240">
        <f>IF(VLOOKUP(N$2,'TIS Site Config'!$A$4:$AQ$51,3,FALSE)&lt;&gt;"Soft",
   IF(VLOOKUP(N$2,'TIS Site Config'!$A$3:$AQ$51,6,FALSE)&lt;&gt;"Extreme Heated",
   IF(OR(VLOOKUP(N$2,'TIS Site Config'!$A$3:$AQ$51,24,FALSE)="BA",
                VLOOKUP(N$2,'TIS Site Config'!$A$3:$AQ$51,24,FALSE)="AD",
                VLOOKUP(N$2,'TIS Site Config'!$A$3:$AQ$51,24,FALSE)="DC",
                VLOOKUP(N$2,'TIS Site Config'!$A$3:$AQ$51,24,FALSE)="CB"),
                         1,0)+
  IF(AND(VLOOKUP(N$2,'TIS Site Config'!$A$3:$AQ$51,22,FALSE)="Split",
                OR(VLOOKUP(N$2,'TIS Site Config'!$A$3:$AQ$51,25,FALSE)="BA",
                VLOOKUP(N$2,'TIS Site Config'!$A$3:$AQ$51,25,FALSE)="AD",
                VLOOKUP(N$2,'TIS Site Config'!$A$3:$AQ$51,25,FALSE)="DC",
                VLOOKUP(N$2,'TIS Site Config'!$A$3:$AQ$51,25,FALSE)="CB")),
                         1,0),0),0)</f>
        <v>1</v>
      </c>
      <c r="O42" s="244">
        <f>IF(VLOOKUP(O$2,'TIS Site Config'!$A$4:$AQ$51,3,FALSE)&lt;&gt;"Soft",
   IF(VLOOKUP(O$2,'TIS Site Config'!$A$3:$AQ$51,6,FALSE)&lt;&gt;"Extreme Heated",
   IF(OR(VLOOKUP(O$2,'TIS Site Config'!$A$3:$AQ$51,24,FALSE)="BA",
                VLOOKUP(O$2,'TIS Site Config'!$A$3:$AQ$51,24,FALSE)="AD",
                VLOOKUP(O$2,'TIS Site Config'!$A$3:$AQ$51,24,FALSE)="DC",
                VLOOKUP(O$2,'TIS Site Config'!$A$3:$AQ$51,24,FALSE)="CB"),
                         1,0)+
  IF(AND(VLOOKUP(O$2,'TIS Site Config'!$A$3:$AQ$51,22,FALSE)="Split",
                OR(VLOOKUP(O$2,'TIS Site Config'!$A$3:$AQ$51,25,FALSE)="BA",
                VLOOKUP(O$2,'TIS Site Config'!$A$3:$AQ$51,25,FALSE)="AD",
                VLOOKUP(O$2,'TIS Site Config'!$A$3:$AQ$51,25,FALSE)="DC",
                VLOOKUP(O$2,'TIS Site Config'!$A$3:$AQ$51,25,FALSE)="CB")),
                         1,0),0),0)</f>
        <v>1</v>
      </c>
      <c r="P42" s="239">
        <f>IF(VLOOKUP(P$2,'TIS Site Config'!$A$4:$AQ$51,3,FALSE)&lt;&gt;"Soft",
   IF(VLOOKUP(P$2,'TIS Site Config'!$A$3:$AQ$51,6,FALSE)&lt;&gt;"Extreme Heated",
   IF(OR(VLOOKUP(P$2,'TIS Site Config'!$A$3:$AQ$51,24,FALSE)="BA",
                VLOOKUP(P$2,'TIS Site Config'!$A$3:$AQ$51,24,FALSE)="AD",
                VLOOKUP(P$2,'TIS Site Config'!$A$3:$AQ$51,24,FALSE)="DC",
                VLOOKUP(P$2,'TIS Site Config'!$A$3:$AQ$51,24,FALSE)="CB"),
                         1,0)+
  IF(AND(VLOOKUP(P$2,'TIS Site Config'!$A$3:$AQ$51,22,FALSE)="Split",
                OR(VLOOKUP(P$2,'TIS Site Config'!$A$3:$AQ$51,25,FALSE)="BA",
                VLOOKUP(P$2,'TIS Site Config'!$A$3:$AQ$51,25,FALSE)="AD",
                VLOOKUP(P$2,'TIS Site Config'!$A$3:$AQ$51,25,FALSE)="DC",
                VLOOKUP(P$2,'TIS Site Config'!$A$3:$AQ$51,25,FALSE)="CB")),
                         1,0),0),0)</f>
        <v>1</v>
      </c>
      <c r="Q42" s="240">
        <f>IF(VLOOKUP(Q$2,'TIS Site Config'!$A$4:$AQ$51,3,FALSE)&lt;&gt;"Soft",
   IF(VLOOKUP(Q$2,'TIS Site Config'!$A$3:$AQ$51,6,FALSE)&lt;&gt;"Extreme Heated",
   IF(OR(VLOOKUP(Q$2,'TIS Site Config'!$A$3:$AQ$51,24,FALSE)="BA",
                VLOOKUP(Q$2,'TIS Site Config'!$A$3:$AQ$51,24,FALSE)="AD",
                VLOOKUP(Q$2,'TIS Site Config'!$A$3:$AQ$51,24,FALSE)="DC",
                VLOOKUP(Q$2,'TIS Site Config'!$A$3:$AQ$51,24,FALSE)="CB"),
                         1,0)+
  IF(AND(VLOOKUP(Q$2,'TIS Site Config'!$A$3:$AQ$51,22,FALSE)="Split",
                OR(VLOOKUP(Q$2,'TIS Site Config'!$A$3:$AQ$51,25,FALSE)="BA",
                VLOOKUP(Q$2,'TIS Site Config'!$A$3:$AQ$51,25,FALSE)="AD",
                VLOOKUP(Q$2,'TIS Site Config'!$A$3:$AQ$51,25,FALSE)="DC",
                VLOOKUP(Q$2,'TIS Site Config'!$A$3:$AQ$51,25,FALSE)="CB")),
                         1,0),0),0)</f>
        <v>1</v>
      </c>
      <c r="R42" s="139">
        <f>IF(VLOOKUP(R$2,'TIS Site Config'!$A$4:$AQ$51,3,FALSE)&lt;&gt;"Soft",
   IF(VLOOKUP(R$2,'TIS Site Config'!$A$3:$AQ$51,6,FALSE)&lt;&gt;"Extreme Heated",
   IF(OR(VLOOKUP(R$2,'TIS Site Config'!$A$3:$AQ$51,24,FALSE)="BA",
                VLOOKUP(R$2,'TIS Site Config'!$A$3:$AQ$51,24,FALSE)="AD",
                VLOOKUP(R$2,'TIS Site Config'!$A$3:$AQ$51,24,FALSE)="DC",
                VLOOKUP(R$2,'TIS Site Config'!$A$3:$AQ$51,24,FALSE)="CB"),
                         1,0)+
  IF(AND(VLOOKUP(R$2,'TIS Site Config'!$A$3:$AQ$51,22,FALSE)="Split",
                OR(VLOOKUP(R$2,'TIS Site Config'!$A$3:$AQ$51,25,FALSE)="BA",
                VLOOKUP(R$2,'TIS Site Config'!$A$3:$AQ$51,25,FALSE)="AD",
                VLOOKUP(R$2,'TIS Site Config'!$A$3:$AQ$51,25,FALSE)="DC",
                VLOOKUP(R$2,'TIS Site Config'!$A$3:$AQ$51,25,FALSE)="CB")),
                         1,0),0),0)</f>
        <v>0</v>
      </c>
      <c r="S42" s="239">
        <f>IF(VLOOKUP(S$2,'TIS Site Config'!$A$4:$AQ$51,3,FALSE)&lt;&gt;"Soft",
   IF(VLOOKUP(S$2,'TIS Site Config'!$A$3:$AQ$51,6,FALSE)&lt;&gt;"Extreme Heated",
   IF(OR(VLOOKUP(S$2,'TIS Site Config'!$A$3:$AQ$51,24,FALSE)="BA",
                VLOOKUP(S$2,'TIS Site Config'!$A$3:$AQ$51,24,FALSE)="AD",
                VLOOKUP(S$2,'TIS Site Config'!$A$3:$AQ$51,24,FALSE)="DC",
                VLOOKUP(S$2,'TIS Site Config'!$A$3:$AQ$51,24,FALSE)="CB"),
                         1,0)+
  IF(AND(VLOOKUP(S$2,'TIS Site Config'!$A$3:$AQ$51,22,FALSE)="Split",
                OR(VLOOKUP(S$2,'TIS Site Config'!$A$3:$AQ$51,25,FALSE)="BA",
                VLOOKUP(S$2,'TIS Site Config'!$A$3:$AQ$51,25,FALSE)="AD",
                VLOOKUP(S$2,'TIS Site Config'!$A$3:$AQ$51,25,FALSE)="DC",
                VLOOKUP(S$2,'TIS Site Config'!$A$3:$AQ$51,25,FALSE)="CB")),
                         1,0),0),0)</f>
        <v>1</v>
      </c>
      <c r="T42" s="240">
        <f>IF(VLOOKUP(T$2,'TIS Site Config'!$A$4:$AQ$51,3,FALSE)&lt;&gt;"Soft",
   IF(VLOOKUP(T$2,'TIS Site Config'!$A$3:$AQ$51,6,FALSE)&lt;&gt;"Extreme Heated",
   IF(OR(VLOOKUP(T$2,'TIS Site Config'!$A$3:$AQ$51,24,FALSE)="BA",
                VLOOKUP(T$2,'TIS Site Config'!$A$3:$AQ$51,24,FALSE)="AD",
                VLOOKUP(T$2,'TIS Site Config'!$A$3:$AQ$51,24,FALSE)="DC",
                VLOOKUP(T$2,'TIS Site Config'!$A$3:$AQ$51,24,FALSE)="CB"),
                         1,0)+
  IF(AND(VLOOKUP(T$2,'TIS Site Config'!$A$3:$AQ$51,22,FALSE)="Split",
                OR(VLOOKUP(T$2,'TIS Site Config'!$A$3:$AQ$51,25,FALSE)="BA",
                VLOOKUP(T$2,'TIS Site Config'!$A$3:$AQ$51,25,FALSE)="AD",
                VLOOKUP(T$2,'TIS Site Config'!$A$3:$AQ$51,25,FALSE)="DC",
                VLOOKUP(T$2,'TIS Site Config'!$A$3:$AQ$51,25,FALSE)="CB")),
                         1,0),0),0)</f>
        <v>0</v>
      </c>
      <c r="U42" s="139">
        <f>IF(VLOOKUP(U$2,'TIS Site Config'!$A$4:$AQ$51,3,FALSE)&lt;&gt;"Soft",
   IF(VLOOKUP(U$2,'TIS Site Config'!$A$3:$AQ$51,6,FALSE)&lt;&gt;"Extreme Heated",
   IF(OR(VLOOKUP(U$2,'TIS Site Config'!$A$3:$AQ$51,24,FALSE)="BA",
                VLOOKUP(U$2,'TIS Site Config'!$A$3:$AQ$51,24,FALSE)="AD",
                VLOOKUP(U$2,'TIS Site Config'!$A$3:$AQ$51,24,FALSE)="DC",
                VLOOKUP(U$2,'TIS Site Config'!$A$3:$AQ$51,24,FALSE)="CB"),
                         1,0)+
  IF(AND(VLOOKUP(U$2,'TIS Site Config'!$A$3:$AQ$51,22,FALSE)="Split",
                OR(VLOOKUP(U$2,'TIS Site Config'!$A$3:$AQ$51,25,FALSE)="BA",
                VLOOKUP(U$2,'TIS Site Config'!$A$3:$AQ$51,25,FALSE)="AD",
                VLOOKUP(U$2,'TIS Site Config'!$A$3:$AQ$51,25,FALSE)="DC",
                VLOOKUP(U$2,'TIS Site Config'!$A$3:$AQ$51,25,FALSE)="CB")),
                         1,0),0),0)</f>
        <v>1</v>
      </c>
      <c r="V42" s="240">
        <f>IF(VLOOKUP(V$2,'TIS Site Config'!$A$4:$AQ$51,3,FALSE)&lt;&gt;"Soft",
   IF(VLOOKUP(V$2,'TIS Site Config'!$A$3:$AQ$51,6,FALSE)&lt;&gt;"Extreme Heated",
   IF(OR(VLOOKUP(V$2,'TIS Site Config'!$A$3:$AQ$51,24,FALSE)="BA",
                VLOOKUP(V$2,'TIS Site Config'!$A$3:$AQ$51,24,FALSE)="AD",
                VLOOKUP(V$2,'TIS Site Config'!$A$3:$AQ$51,24,FALSE)="DC",
                VLOOKUP(V$2,'TIS Site Config'!$A$3:$AQ$51,24,FALSE)="CB"),
                         1,0)+
  IF(AND(VLOOKUP(V$2,'TIS Site Config'!$A$3:$AQ$51,22,FALSE)="Split",
                OR(VLOOKUP(V$2,'TIS Site Config'!$A$3:$AQ$51,25,FALSE)="BA",
                VLOOKUP(V$2,'TIS Site Config'!$A$3:$AQ$51,25,FALSE)="AD",
                VLOOKUP(V$2,'TIS Site Config'!$A$3:$AQ$51,25,FALSE)="DC",
                VLOOKUP(V$2,'TIS Site Config'!$A$3:$AQ$51,25,FALSE)="CB")),
                         1,0),0),0)</f>
        <v>1</v>
      </c>
      <c r="W42" s="243">
        <f>IF(VLOOKUP(W$2,'TIS Site Config'!$A$4:$AQ$51,3,FALSE)&lt;&gt;"Soft",
   IF(VLOOKUP(W$2,'TIS Site Config'!$A$3:$AQ$51,6,FALSE)&lt;&gt;"Extreme Heated",
   IF(OR(VLOOKUP(W$2,'TIS Site Config'!$A$3:$AQ$51,24,FALSE)="BA",
                VLOOKUP(W$2,'TIS Site Config'!$A$3:$AQ$51,24,FALSE)="AD",
                VLOOKUP(W$2,'TIS Site Config'!$A$3:$AQ$51,24,FALSE)="DC",
                VLOOKUP(W$2,'TIS Site Config'!$A$3:$AQ$51,24,FALSE)="CB"),
                         1,0)+
  IF(AND(VLOOKUP(W$2,'TIS Site Config'!$A$3:$AQ$51,22,FALSE)="Split",
                OR(VLOOKUP(W$2,'TIS Site Config'!$A$3:$AQ$51,25,FALSE)="BA",
                VLOOKUP(W$2,'TIS Site Config'!$A$3:$AQ$51,25,FALSE)="AD",
                VLOOKUP(W$2,'TIS Site Config'!$A$3:$AQ$51,25,FALSE)="DC",
                VLOOKUP(W$2,'TIS Site Config'!$A$3:$AQ$51,25,FALSE)="CB")),
                         1,0),0),0)</f>
        <v>0</v>
      </c>
      <c r="X42" s="239">
        <f>IF(VLOOKUP(X$2,'TIS Site Config'!$A$4:$AQ$51,3,FALSE)&lt;&gt;"Soft",
   IF(VLOOKUP(X$2,'TIS Site Config'!$A$3:$AQ$51,6,FALSE)&lt;&gt;"Extreme Heated",
   IF(OR(VLOOKUP(X$2,'TIS Site Config'!$A$3:$AQ$51,24,FALSE)="BA",
                VLOOKUP(X$2,'TIS Site Config'!$A$3:$AQ$51,24,FALSE)="AD",
                VLOOKUP(X$2,'TIS Site Config'!$A$3:$AQ$51,24,FALSE)="DC",
                VLOOKUP(X$2,'TIS Site Config'!$A$3:$AQ$51,24,FALSE)="CB"),
                         1,0)+
  IF(AND(VLOOKUP(X$2,'TIS Site Config'!$A$3:$AQ$51,22,FALSE)="Split",
                OR(VLOOKUP(X$2,'TIS Site Config'!$A$3:$AQ$51,25,FALSE)="BA",
                VLOOKUP(X$2,'TIS Site Config'!$A$3:$AQ$51,25,FALSE)="AD",
                VLOOKUP(X$2,'TIS Site Config'!$A$3:$AQ$51,25,FALSE)="DC",
                VLOOKUP(X$2,'TIS Site Config'!$A$3:$AQ$51,25,FALSE)="CB")),
                         1,0),0),0)</f>
        <v>1</v>
      </c>
      <c r="Y42" s="240">
        <f>IF(VLOOKUP(Y$2,'TIS Site Config'!$A$4:$AQ$51,3,FALSE)&lt;&gt;"Soft",
   IF(VLOOKUP(Y$2,'TIS Site Config'!$A$3:$AQ$51,6,FALSE)&lt;&gt;"Extreme Heated",
   IF(OR(VLOOKUP(Y$2,'TIS Site Config'!$A$3:$AQ$51,24,FALSE)="BA",
                VLOOKUP(Y$2,'TIS Site Config'!$A$3:$AQ$51,24,FALSE)="AD",
                VLOOKUP(Y$2,'TIS Site Config'!$A$3:$AQ$51,24,FALSE)="DC",
                VLOOKUP(Y$2,'TIS Site Config'!$A$3:$AQ$51,24,FALSE)="CB"),
                         1,0)+
  IF(AND(VLOOKUP(Y$2,'TIS Site Config'!$A$3:$AQ$51,22,FALSE)="Split",
                OR(VLOOKUP(Y$2,'TIS Site Config'!$A$3:$AQ$51,25,FALSE)="BA",
                VLOOKUP(Y$2,'TIS Site Config'!$A$3:$AQ$51,25,FALSE)="AD",
                VLOOKUP(Y$2,'TIS Site Config'!$A$3:$AQ$51,25,FALSE)="DC",
                VLOOKUP(Y$2,'TIS Site Config'!$A$3:$AQ$51,25,FALSE)="CB")),
                         1,0),0),0)</f>
        <v>1</v>
      </c>
      <c r="Z42" s="139">
        <f>IF(VLOOKUP(Z$2,'TIS Site Config'!$A$4:$AQ$51,3,FALSE)&lt;&gt;"Soft",
   IF(VLOOKUP(Z$2,'TIS Site Config'!$A$3:$AQ$51,6,FALSE)&lt;&gt;"Extreme Heated",
   IF(OR(VLOOKUP(Z$2,'TIS Site Config'!$A$3:$AQ$51,24,FALSE)="BA",
                VLOOKUP(Z$2,'TIS Site Config'!$A$3:$AQ$51,24,FALSE)="AD",
                VLOOKUP(Z$2,'TIS Site Config'!$A$3:$AQ$51,24,FALSE)="DC",
                VLOOKUP(Z$2,'TIS Site Config'!$A$3:$AQ$51,24,FALSE)="CB"),
                         1,0)+
  IF(AND(VLOOKUP(Z$2,'TIS Site Config'!$A$3:$AQ$51,22,FALSE)="Split",
                OR(VLOOKUP(Z$2,'TIS Site Config'!$A$3:$AQ$51,25,FALSE)="BA",
                VLOOKUP(Z$2,'TIS Site Config'!$A$3:$AQ$51,25,FALSE)="AD",
                VLOOKUP(Z$2,'TIS Site Config'!$A$3:$AQ$51,25,FALSE)="DC",
                VLOOKUP(Z$2,'TIS Site Config'!$A$3:$AQ$51,25,FALSE)="CB")),
                         1,0),0),0)</f>
        <v>1</v>
      </c>
      <c r="AA42" s="239">
        <f>IF(VLOOKUP(AA$2,'TIS Site Config'!$A$4:$AQ$51,3,FALSE)&lt;&gt;"Soft",
   IF(VLOOKUP(AA$2,'TIS Site Config'!$A$3:$AQ$51,6,FALSE)&lt;&gt;"Extreme Heated",
   IF(OR(VLOOKUP(AA$2,'TIS Site Config'!$A$3:$AQ$51,24,FALSE)="BA",
                VLOOKUP(AA$2,'TIS Site Config'!$A$3:$AQ$51,24,FALSE)="AD",
                VLOOKUP(AA$2,'TIS Site Config'!$A$3:$AQ$51,24,FALSE)="DC",
                VLOOKUP(AA$2,'TIS Site Config'!$A$3:$AQ$51,24,FALSE)="CB"),
                         1,0)+
  IF(AND(VLOOKUP(AA$2,'TIS Site Config'!$A$3:$AQ$51,22,FALSE)="Split",
                OR(VLOOKUP(AA$2,'TIS Site Config'!$A$3:$AQ$51,25,FALSE)="BA",
                VLOOKUP(AA$2,'TIS Site Config'!$A$3:$AQ$51,25,FALSE)="AD",
                VLOOKUP(AA$2,'TIS Site Config'!$A$3:$AQ$51,25,FALSE)="DC",
                VLOOKUP(AA$2,'TIS Site Config'!$A$3:$AQ$51,25,FALSE)="CB")),
                         1,0),0),0)</f>
        <v>1</v>
      </c>
      <c r="AB42" s="240">
        <f>IF(VLOOKUP(AB$2,'TIS Site Config'!$A$4:$AQ$51,3,FALSE)&lt;&gt;"Soft",
   IF(VLOOKUP(AB$2,'TIS Site Config'!$A$3:$AQ$51,6,FALSE)&lt;&gt;"Extreme Heated",
   IF(OR(VLOOKUP(AB$2,'TIS Site Config'!$A$3:$AQ$51,24,FALSE)="BA",
                VLOOKUP(AB$2,'TIS Site Config'!$A$3:$AQ$51,24,FALSE)="AD",
                VLOOKUP(AB$2,'TIS Site Config'!$A$3:$AQ$51,24,FALSE)="DC",
                VLOOKUP(AB$2,'TIS Site Config'!$A$3:$AQ$51,24,FALSE)="CB"),
                         1,0)+
  IF(AND(VLOOKUP(AB$2,'TIS Site Config'!$A$3:$AQ$51,22,FALSE)="Split",
                OR(VLOOKUP(AB$2,'TIS Site Config'!$A$3:$AQ$51,25,FALSE)="BA",
                VLOOKUP(AB$2,'TIS Site Config'!$A$3:$AQ$51,25,FALSE)="AD",
                VLOOKUP(AB$2,'TIS Site Config'!$A$3:$AQ$51,25,FALSE)="DC",
                VLOOKUP(AB$2,'TIS Site Config'!$A$3:$AQ$51,25,FALSE)="CB")),
                         1,0),0),0)</f>
        <v>1</v>
      </c>
      <c r="AC42" s="239">
        <f>IF(VLOOKUP(AC$2,'TIS Site Config'!$A$4:$AQ$51,3,FALSE)&lt;&gt;"Soft",
   IF(VLOOKUP(AC$2,'TIS Site Config'!$A$3:$AQ$51,6,FALSE)&lt;&gt;"Extreme Heated",
   IF(OR(VLOOKUP(AC$2,'TIS Site Config'!$A$3:$AQ$51,24,FALSE)="BA",
                VLOOKUP(AC$2,'TIS Site Config'!$A$3:$AQ$51,24,FALSE)="AD",
                VLOOKUP(AC$2,'TIS Site Config'!$A$3:$AQ$51,24,FALSE)="DC",
                VLOOKUP(AC$2,'TIS Site Config'!$A$3:$AQ$51,24,FALSE)="CB"),
                         1,0)+
  IF(AND(VLOOKUP(AC$2,'TIS Site Config'!$A$3:$AQ$51,22,FALSE)="Split",
                OR(VLOOKUP(AC$2,'TIS Site Config'!$A$3:$AQ$51,25,FALSE)="BA",
                VLOOKUP(AC$2,'TIS Site Config'!$A$3:$AQ$51,25,FALSE)="AD",
                VLOOKUP(AC$2,'TIS Site Config'!$A$3:$AQ$51,25,FALSE)="DC",
                VLOOKUP(AC$2,'TIS Site Config'!$A$3:$AQ$51,25,FALSE)="CB")),
                         1,0),0),0)</f>
        <v>1</v>
      </c>
      <c r="AD42" s="241">
        <f>IF(VLOOKUP(AD$2,'TIS Site Config'!$A$4:$AQ$51,3,FALSE)&lt;&gt;"Soft",
   IF(VLOOKUP(AD$2,'TIS Site Config'!$A$3:$AQ$51,6,FALSE)&lt;&gt;"Extreme Heated",
   IF(OR(VLOOKUP(AD$2,'TIS Site Config'!$A$3:$AQ$51,24,FALSE)="BA",
                VLOOKUP(AD$2,'TIS Site Config'!$A$3:$AQ$51,24,FALSE)="AD",
                VLOOKUP(AD$2,'TIS Site Config'!$A$3:$AQ$51,24,FALSE)="DC",
                VLOOKUP(AD$2,'TIS Site Config'!$A$3:$AQ$51,24,FALSE)="CB"),
                         1,0)+
  IF(AND(VLOOKUP(AD$2,'TIS Site Config'!$A$3:$AQ$51,22,FALSE)="Split",
                OR(VLOOKUP(AD$2,'TIS Site Config'!$A$3:$AQ$51,25,FALSE)="BA",
                VLOOKUP(AD$2,'TIS Site Config'!$A$3:$AQ$51,25,FALSE)="AD",
                VLOOKUP(AD$2,'TIS Site Config'!$A$3:$AQ$51,25,FALSE)="DC",
                VLOOKUP(AD$2,'TIS Site Config'!$A$3:$AQ$51,25,FALSE)="CB")),
                         1,0),0),0)</f>
        <v>0</v>
      </c>
      <c r="AE42" s="241">
        <f>IF(VLOOKUP(AE$2,'TIS Site Config'!$A$4:$AQ$51,3,FALSE)&lt;&gt;"Soft",
   IF(VLOOKUP(AE$2,'TIS Site Config'!$A$3:$AQ$51,6,FALSE)&lt;&gt;"Extreme Heated",
   IF(OR(VLOOKUP(AE$2,'TIS Site Config'!$A$3:$AQ$51,24,FALSE)="BA",
                VLOOKUP(AE$2,'TIS Site Config'!$A$3:$AQ$51,24,FALSE)="AD",
                VLOOKUP(AE$2,'TIS Site Config'!$A$3:$AQ$51,24,FALSE)="DC",
                VLOOKUP(AE$2,'TIS Site Config'!$A$3:$AQ$51,24,FALSE)="CB"),
                         1,0)+
  IF(AND(VLOOKUP(AE$2,'TIS Site Config'!$A$3:$AQ$51,22,FALSE)="Split",
                OR(VLOOKUP(AE$2,'TIS Site Config'!$A$3:$AQ$51,25,FALSE)="BA",
                VLOOKUP(AE$2,'TIS Site Config'!$A$3:$AQ$51,25,FALSE)="AD",
                VLOOKUP(AE$2,'TIS Site Config'!$A$3:$AQ$51,25,FALSE)="DC",
                VLOOKUP(AE$2,'TIS Site Config'!$A$3:$AQ$51,25,FALSE)="CB")),
                         1,0),0),0)</f>
        <v>0</v>
      </c>
      <c r="AF42" s="242">
        <f>IF(VLOOKUP(AF$2,'TIS Site Config'!$A$4:$AQ$51,3,FALSE)&lt;&gt;"Soft",
   IF(VLOOKUP(AF$2,'TIS Site Config'!$A$3:$AQ$51,6,FALSE)&lt;&gt;"Extreme Heated",
   IF(OR(VLOOKUP(AF$2,'TIS Site Config'!$A$3:$AQ$51,24,FALSE)="BA",
                VLOOKUP(AF$2,'TIS Site Config'!$A$3:$AQ$51,24,FALSE)="AD",
                VLOOKUP(AF$2,'TIS Site Config'!$A$3:$AQ$51,24,FALSE)="DC",
                VLOOKUP(AF$2,'TIS Site Config'!$A$3:$AQ$51,24,FALSE)="CB"),
                         1,0)+
  IF(AND(VLOOKUP(AF$2,'TIS Site Config'!$A$3:$AQ$51,22,FALSE)="Split",
                OR(VLOOKUP(AF$2,'TIS Site Config'!$A$3:$AQ$51,25,FALSE)="BA",
                VLOOKUP(AF$2,'TIS Site Config'!$A$3:$AQ$51,25,FALSE)="AD",
                VLOOKUP(AF$2,'TIS Site Config'!$A$3:$AQ$51,25,FALSE)="DC",
                VLOOKUP(AF$2,'TIS Site Config'!$A$3:$AQ$51,25,FALSE)="CB")),
                         1,0),0),0)</f>
        <v>1</v>
      </c>
      <c r="AG42" s="239">
        <f>IF(VLOOKUP(AG$2,'TIS Site Config'!$A$4:$AQ$51,3,FALSE)&lt;&gt;"Soft",
   IF(VLOOKUP(AG$2,'TIS Site Config'!$A$3:$AQ$51,6,FALSE)&lt;&gt;"Extreme Heated",
   IF(OR(VLOOKUP(AG$2,'TIS Site Config'!$A$3:$AQ$51,24,FALSE)="BA",
                VLOOKUP(AG$2,'TIS Site Config'!$A$3:$AQ$51,24,FALSE)="AD",
                VLOOKUP(AG$2,'TIS Site Config'!$A$3:$AQ$51,24,FALSE)="DC",
                VLOOKUP(AG$2,'TIS Site Config'!$A$3:$AQ$51,24,FALSE)="CB"),
                         1,0)+
  IF(AND(VLOOKUP(AG$2,'TIS Site Config'!$A$3:$AQ$51,22,FALSE)="Split",
                OR(VLOOKUP(AG$2,'TIS Site Config'!$A$3:$AQ$51,25,FALSE)="BA",
                VLOOKUP(AG$2,'TIS Site Config'!$A$3:$AQ$51,25,FALSE)="AD",
                VLOOKUP(AG$2,'TIS Site Config'!$A$3:$AQ$51,25,FALSE)="DC",
                VLOOKUP(AG$2,'TIS Site Config'!$A$3:$AQ$51,25,FALSE)="CB")),
                         1,0),0),0)</f>
        <v>1</v>
      </c>
      <c r="AH42" s="240">
        <f>IF(VLOOKUP(AH$2,'TIS Site Config'!$A$4:$AQ$51,3,FALSE)&lt;&gt;"Soft",
   IF(VLOOKUP(AH$2,'TIS Site Config'!$A$3:$AQ$51,6,FALSE)&lt;&gt;"Extreme Heated",
   IF(OR(VLOOKUP(AH$2,'TIS Site Config'!$A$3:$AQ$51,24,FALSE)="BA",
                VLOOKUP(AH$2,'TIS Site Config'!$A$3:$AQ$51,24,FALSE)="AD",
                VLOOKUP(AH$2,'TIS Site Config'!$A$3:$AQ$51,24,FALSE)="DC",
                VLOOKUP(AH$2,'TIS Site Config'!$A$3:$AQ$51,24,FALSE)="CB"),
                         1,0)+
  IF(AND(VLOOKUP(AH$2,'TIS Site Config'!$A$3:$AQ$51,22,FALSE)="Split",
                OR(VLOOKUP(AH$2,'TIS Site Config'!$A$3:$AQ$51,25,FALSE)="BA",
                VLOOKUP(AH$2,'TIS Site Config'!$A$3:$AQ$51,25,FALSE)="AD",
                VLOOKUP(AH$2,'TIS Site Config'!$A$3:$AQ$51,25,FALSE)="DC",
                VLOOKUP(AH$2,'TIS Site Config'!$A$3:$AQ$51,25,FALSE)="CB")),
                         1,0),0),0)</f>
        <v>1</v>
      </c>
      <c r="AI42" s="139">
        <f>IF(VLOOKUP(AI$2,'TIS Site Config'!$A$4:$AQ$51,3,FALSE)&lt;&gt;"Soft",
   IF(VLOOKUP(AI$2,'TIS Site Config'!$A$3:$AQ$51,6,FALSE)&lt;&gt;"Extreme Heated",
   IF(OR(VLOOKUP(AI$2,'TIS Site Config'!$A$3:$AQ$51,24,FALSE)="BA",
                VLOOKUP(AI$2,'TIS Site Config'!$A$3:$AQ$51,24,FALSE)="AD",
                VLOOKUP(AI$2,'TIS Site Config'!$A$3:$AQ$51,24,FALSE)="DC",
                VLOOKUP(AI$2,'TIS Site Config'!$A$3:$AQ$51,24,FALSE)="CB"),
                         1,0)+
  IF(AND(VLOOKUP(AI$2,'TIS Site Config'!$A$3:$AQ$51,22,FALSE)="Split",
                OR(VLOOKUP(AI$2,'TIS Site Config'!$A$3:$AQ$51,25,FALSE)="BA",
                VLOOKUP(AI$2,'TIS Site Config'!$A$3:$AQ$51,25,FALSE)="AD",
                VLOOKUP(AI$2,'TIS Site Config'!$A$3:$AQ$51,25,FALSE)="DC",
                VLOOKUP(AI$2,'TIS Site Config'!$A$3:$AQ$51,25,FALSE)="CB")),
                         1,0),0),0)</f>
        <v>1</v>
      </c>
      <c r="AJ42" s="239">
        <f>IF(VLOOKUP(AJ$2,'TIS Site Config'!$A$4:$AQ$51,3,FALSE)&lt;&gt;"Soft",
   IF(VLOOKUP(AJ$2,'TIS Site Config'!$A$3:$AQ$51,6,FALSE)&lt;&gt;"Extreme Heated",
   IF(OR(VLOOKUP(AJ$2,'TIS Site Config'!$A$3:$AQ$51,24,FALSE)="BA",
                VLOOKUP(AJ$2,'TIS Site Config'!$A$3:$AQ$51,24,FALSE)="AD",
                VLOOKUP(AJ$2,'TIS Site Config'!$A$3:$AQ$51,24,FALSE)="DC",
                VLOOKUP(AJ$2,'TIS Site Config'!$A$3:$AQ$51,24,FALSE)="CB"),
                         1,0)+
  IF(AND(VLOOKUP(AJ$2,'TIS Site Config'!$A$3:$AQ$51,22,FALSE)="Split",
                OR(VLOOKUP(AJ$2,'TIS Site Config'!$A$3:$AQ$51,25,FALSE)="BA",
                VLOOKUP(AJ$2,'TIS Site Config'!$A$3:$AQ$51,25,FALSE)="AD",
                VLOOKUP(AJ$2,'TIS Site Config'!$A$3:$AQ$51,25,FALSE)="DC",
                VLOOKUP(AJ$2,'TIS Site Config'!$A$3:$AQ$51,25,FALSE)="CB")),
                         1,0),0),0)</f>
        <v>1</v>
      </c>
      <c r="AK42" s="240">
        <f>IF(VLOOKUP(AK$2,'TIS Site Config'!$A$4:$AQ$51,3,FALSE)&lt;&gt;"Soft",
   IF(VLOOKUP(AK$2,'TIS Site Config'!$A$3:$AQ$51,6,FALSE)&lt;&gt;"Extreme Heated",
   IF(OR(VLOOKUP(AK$2,'TIS Site Config'!$A$3:$AQ$51,24,FALSE)="BA",
                VLOOKUP(AK$2,'TIS Site Config'!$A$3:$AQ$51,24,FALSE)="AD",
                VLOOKUP(AK$2,'TIS Site Config'!$A$3:$AQ$51,24,FALSE)="DC",
                VLOOKUP(AK$2,'TIS Site Config'!$A$3:$AQ$51,24,FALSE)="CB"),
                         1,0)+
  IF(AND(VLOOKUP(AK$2,'TIS Site Config'!$A$3:$AQ$51,22,FALSE)="Split",
                OR(VLOOKUP(AK$2,'TIS Site Config'!$A$3:$AQ$51,25,FALSE)="BA",
                VLOOKUP(AK$2,'TIS Site Config'!$A$3:$AQ$51,25,FALSE)="AD",
                VLOOKUP(AK$2,'TIS Site Config'!$A$3:$AQ$51,25,FALSE)="DC",
                VLOOKUP(AK$2,'TIS Site Config'!$A$3:$AQ$51,25,FALSE)="CB")),
                         1,0),0),0)</f>
        <v>1</v>
      </c>
      <c r="AL42" s="139">
        <f>IF(VLOOKUP(AL$2,'TIS Site Config'!$A$4:$AQ$51,3,FALSE)&lt;&gt;"Soft",
   IF(VLOOKUP(AL$2,'TIS Site Config'!$A$3:$AQ$51,6,FALSE)&lt;&gt;"Extreme Heated",
   IF(OR(VLOOKUP(AL$2,'TIS Site Config'!$A$3:$AQ$51,24,FALSE)="BA",
                VLOOKUP(AL$2,'TIS Site Config'!$A$3:$AQ$51,24,FALSE)="AD",
                VLOOKUP(AL$2,'TIS Site Config'!$A$3:$AQ$51,24,FALSE)="DC",
                VLOOKUP(AL$2,'TIS Site Config'!$A$3:$AQ$51,24,FALSE)="CB"),
                         1,0)+
  IF(AND(VLOOKUP(AL$2,'TIS Site Config'!$A$3:$AQ$51,22,FALSE)="Split",
                OR(VLOOKUP(AL$2,'TIS Site Config'!$A$3:$AQ$51,25,FALSE)="BA",
                VLOOKUP(AL$2,'TIS Site Config'!$A$3:$AQ$51,25,FALSE)="AD",
                VLOOKUP(AL$2,'TIS Site Config'!$A$3:$AQ$51,25,FALSE)="DC",
                VLOOKUP(AL$2,'TIS Site Config'!$A$3:$AQ$51,25,FALSE)="CB")),
                         1,0),0),0)</f>
        <v>1</v>
      </c>
      <c r="AM42" s="239">
        <f>IF(VLOOKUP(AM$2,'TIS Site Config'!$A$4:$AQ$51,3,FALSE)&lt;&gt;"Soft",
   IF(VLOOKUP(AM$2,'TIS Site Config'!$A$3:$AQ$51,6,FALSE)&lt;&gt;"Extreme Heated",
   IF(OR(VLOOKUP(AM$2,'TIS Site Config'!$A$3:$AQ$51,24,FALSE)="BA",
                VLOOKUP(AM$2,'TIS Site Config'!$A$3:$AQ$51,24,FALSE)="AD",
                VLOOKUP(AM$2,'TIS Site Config'!$A$3:$AQ$51,24,FALSE)="DC",
                VLOOKUP(AM$2,'TIS Site Config'!$A$3:$AQ$51,24,FALSE)="CB"),
                         1,0)+
  IF(AND(VLOOKUP(AM$2,'TIS Site Config'!$A$3:$AQ$51,22,FALSE)="Split",
                OR(VLOOKUP(AM$2,'TIS Site Config'!$A$3:$AQ$51,25,FALSE)="BA",
                VLOOKUP(AM$2,'TIS Site Config'!$A$3:$AQ$51,25,FALSE)="AD",
                VLOOKUP(AM$2,'TIS Site Config'!$A$3:$AQ$51,25,FALSE)="DC",
                VLOOKUP(AM$2,'TIS Site Config'!$A$3:$AQ$51,25,FALSE)="CB")),
                         1,0),0),0)</f>
        <v>1</v>
      </c>
      <c r="AN42" s="240">
        <f>IF(VLOOKUP(AN$2,'TIS Site Config'!$A$4:$AQ$51,3,FALSE)&lt;&gt;"Soft",
   IF(VLOOKUP(AN$2,'TIS Site Config'!$A$3:$AQ$51,6,FALSE)&lt;&gt;"Extreme Heated",
   IF(OR(VLOOKUP(AN$2,'TIS Site Config'!$A$3:$AQ$51,24,FALSE)="BA",
                VLOOKUP(AN$2,'TIS Site Config'!$A$3:$AQ$51,24,FALSE)="AD",
                VLOOKUP(AN$2,'TIS Site Config'!$A$3:$AQ$51,24,FALSE)="DC",
                VLOOKUP(AN$2,'TIS Site Config'!$A$3:$AQ$51,24,FALSE)="CB"),
                         1,0)+
  IF(AND(VLOOKUP(AN$2,'TIS Site Config'!$A$3:$AQ$51,22,FALSE)="Split",
                OR(VLOOKUP(AN$2,'TIS Site Config'!$A$3:$AQ$51,25,FALSE)="BA",
                VLOOKUP(AN$2,'TIS Site Config'!$A$3:$AQ$51,25,FALSE)="AD",
                VLOOKUP(AN$2,'TIS Site Config'!$A$3:$AQ$51,25,FALSE)="DC",
                VLOOKUP(AN$2,'TIS Site Config'!$A$3:$AQ$51,25,FALSE)="CB")),
                         1,0),0),0)</f>
        <v>1</v>
      </c>
      <c r="AO42" s="139">
        <f>IF(VLOOKUP(AO$2,'TIS Site Config'!$A$4:$AQ$51,3,FALSE)&lt;&gt;"Soft",
   IF(VLOOKUP(AO$2,'TIS Site Config'!$A$3:$AQ$51,6,FALSE)&lt;&gt;"Extreme Heated",
   IF(OR(VLOOKUP(AO$2,'TIS Site Config'!$A$3:$AQ$51,24,FALSE)="BA",
                VLOOKUP(AO$2,'TIS Site Config'!$A$3:$AQ$51,24,FALSE)="AD",
                VLOOKUP(AO$2,'TIS Site Config'!$A$3:$AQ$51,24,FALSE)="DC",
                VLOOKUP(AO$2,'TIS Site Config'!$A$3:$AQ$51,24,FALSE)="CB"),
                         1,0)+
  IF(AND(VLOOKUP(AO$2,'TIS Site Config'!$A$3:$AQ$51,22,FALSE)="Split",
                OR(VLOOKUP(AO$2,'TIS Site Config'!$A$3:$AQ$51,25,FALSE)="BA",
                VLOOKUP(AO$2,'TIS Site Config'!$A$3:$AQ$51,25,FALSE)="AD",
                VLOOKUP(AO$2,'TIS Site Config'!$A$3:$AQ$51,25,FALSE)="DC",
                VLOOKUP(AO$2,'TIS Site Config'!$A$3:$AQ$51,25,FALSE)="CB")),
                         1,0),0),0)</f>
        <v>1</v>
      </c>
      <c r="AP42" s="239">
        <f>IF(VLOOKUP(AP$2,'TIS Site Config'!$A$4:$AQ$51,3,FALSE)&lt;&gt;"Soft",
   IF(VLOOKUP(AP$2,'TIS Site Config'!$A$3:$AQ$51,6,FALSE)&lt;&gt;"Extreme Heated",
   IF(OR(VLOOKUP(AP$2,'TIS Site Config'!$A$3:$AQ$51,24,FALSE)="BA",
                VLOOKUP(AP$2,'TIS Site Config'!$A$3:$AQ$51,24,FALSE)="AD",
                VLOOKUP(AP$2,'TIS Site Config'!$A$3:$AQ$51,24,FALSE)="DC",
                VLOOKUP(AP$2,'TIS Site Config'!$A$3:$AQ$51,24,FALSE)="CB"),
                         1,0)+
  IF(AND(VLOOKUP(AP$2,'TIS Site Config'!$A$3:$AQ$51,22,FALSE)="Split",
                OR(VLOOKUP(AP$2,'TIS Site Config'!$A$3:$AQ$51,25,FALSE)="BA",
                VLOOKUP(AP$2,'TIS Site Config'!$A$3:$AQ$51,25,FALSE)="AD",
                VLOOKUP(AP$2,'TIS Site Config'!$A$3:$AQ$51,25,FALSE)="DC",
                VLOOKUP(AP$2,'TIS Site Config'!$A$3:$AQ$51,25,FALSE)="CB")),
                         1,0),0),0)</f>
        <v>0</v>
      </c>
      <c r="AQ42" s="139">
        <f>IF(VLOOKUP(AQ$2,'TIS Site Config'!$A$4:$AQ$51,3,FALSE)&lt;&gt;"Soft",
   IF(VLOOKUP(AQ$2,'TIS Site Config'!$A$3:$AQ$51,6,FALSE)&lt;&gt;"Extreme Heated",
   IF(OR(VLOOKUP(AQ$2,'TIS Site Config'!$A$3:$AQ$51,24,FALSE)="BA",
                VLOOKUP(AQ$2,'TIS Site Config'!$A$3:$AQ$51,24,FALSE)="AD",
                VLOOKUP(AQ$2,'TIS Site Config'!$A$3:$AQ$51,24,FALSE)="DC",
                VLOOKUP(AQ$2,'TIS Site Config'!$A$3:$AQ$51,24,FALSE)="CB"),
                         1,0)+
  IF(AND(VLOOKUP(AQ$2,'TIS Site Config'!$A$3:$AQ$51,22,FALSE)="Split",
                OR(VLOOKUP(AQ$2,'TIS Site Config'!$A$3:$AQ$51,25,FALSE)="BA",
                VLOOKUP(AQ$2,'TIS Site Config'!$A$3:$AQ$51,25,FALSE)="AD",
                VLOOKUP(AQ$2,'TIS Site Config'!$A$3:$AQ$51,25,FALSE)="DC",
                VLOOKUP(AQ$2,'TIS Site Config'!$A$3:$AQ$51,25,FALSE)="CB")),
                         1,0),0),0)</f>
        <v>0</v>
      </c>
      <c r="AR42" s="139">
        <f>IF(VLOOKUP(AR$2,'TIS Site Config'!$A$4:$AQ$51,3,FALSE)&lt;&gt;"Soft",
   IF(VLOOKUP(AR$2,'TIS Site Config'!$A$3:$AQ$51,6,FALSE)&lt;&gt;"Extreme Heated",
   IF(OR(VLOOKUP(AR$2,'TIS Site Config'!$A$3:$AQ$51,24,FALSE)="BA",
                VLOOKUP(AR$2,'TIS Site Config'!$A$3:$AQ$51,24,FALSE)="AD",
                VLOOKUP(AR$2,'TIS Site Config'!$A$3:$AQ$51,24,FALSE)="DC",
                VLOOKUP(AR$2,'TIS Site Config'!$A$3:$AQ$51,24,FALSE)="CB"),
                         1,0)+
  IF(AND(VLOOKUP(AR$2,'TIS Site Config'!$A$3:$AQ$51,22,FALSE)="Split",
                OR(VLOOKUP(AR$2,'TIS Site Config'!$A$3:$AQ$51,25,FALSE)="BA",
                VLOOKUP(AR$2,'TIS Site Config'!$A$3:$AQ$51,25,FALSE)="AD",
                VLOOKUP(AR$2,'TIS Site Config'!$A$3:$AQ$51,25,FALSE)="DC",
                VLOOKUP(AR$2,'TIS Site Config'!$A$3:$AQ$51,25,FALSE)="CB")),
                         1,0),0),0)</f>
        <v>0</v>
      </c>
      <c r="AS42" s="239">
        <f>IF(VLOOKUP(AS$2,'TIS Site Config'!$A$4:$AQ$51,3,FALSE)&lt;&gt;"Soft",
   IF(VLOOKUP(AS$2,'TIS Site Config'!$A$3:$AQ$51,6,FALSE)&lt;&gt;"Extreme Heated",
   IF(OR(VLOOKUP(AS$2,'TIS Site Config'!$A$3:$AQ$51,24,FALSE)="BA",
                VLOOKUP(AS$2,'TIS Site Config'!$A$3:$AQ$51,24,FALSE)="AD",
                VLOOKUP(AS$2,'TIS Site Config'!$A$3:$AQ$51,24,FALSE)="DC",
                VLOOKUP(AS$2,'TIS Site Config'!$A$3:$AQ$51,24,FALSE)="CB"),
                         1,0)+
  IF(AND(VLOOKUP(AS$2,'TIS Site Config'!$A$3:$AQ$51,22,FALSE)="Split",
                OR(VLOOKUP(AS$2,'TIS Site Config'!$A$3:$AQ$51,25,FALSE)="BA",
                VLOOKUP(AS$2,'TIS Site Config'!$A$3:$AQ$51,25,FALSE)="AD",
                VLOOKUP(AS$2,'TIS Site Config'!$A$3:$AQ$51,25,FALSE)="DC",
                VLOOKUP(AS$2,'TIS Site Config'!$A$3:$AQ$51,25,FALSE)="CB")),
                         1,0),0),0)</f>
        <v>1</v>
      </c>
      <c r="AT42" s="139">
        <f>IF(VLOOKUP(AT$2,'TIS Site Config'!$A$4:$AQ$51,3,FALSE)&lt;&gt;"Soft",
   IF(VLOOKUP(AT$2,'TIS Site Config'!$A$3:$AQ$51,6,FALSE)&lt;&gt;"Extreme Heated",
   IF(OR(VLOOKUP(AT$2,'TIS Site Config'!$A$3:$AQ$51,24,FALSE)="BA",
                VLOOKUP(AT$2,'TIS Site Config'!$A$3:$AQ$51,24,FALSE)="AD",
                VLOOKUP(AT$2,'TIS Site Config'!$A$3:$AQ$51,24,FALSE)="DC",
                VLOOKUP(AT$2,'TIS Site Config'!$A$3:$AQ$51,24,FALSE)="CB"),
                         1,0)+
  IF(AND(VLOOKUP(AT$2,'TIS Site Config'!$A$3:$AQ$51,22,FALSE)="Split",
                OR(VLOOKUP(AT$2,'TIS Site Config'!$A$3:$AQ$51,25,FALSE)="BA",
                VLOOKUP(AT$2,'TIS Site Config'!$A$3:$AQ$51,25,FALSE)="AD",
                VLOOKUP(AT$2,'TIS Site Config'!$A$3:$AQ$51,25,FALSE)="DC",
                VLOOKUP(AT$2,'TIS Site Config'!$A$3:$AQ$51,25,FALSE)="CB")),
                         1,0),0),0)</f>
        <v>1</v>
      </c>
      <c r="AU42" s="239">
        <f>IF(VLOOKUP(AU$2,'TIS Site Config'!$A$4:$AQ$51,3,FALSE)&lt;&gt;"Soft",
   IF(VLOOKUP(AU$2,'TIS Site Config'!$A$3:$AQ$51,6,FALSE)&lt;&gt;"Extreme Heated",
   IF(OR(VLOOKUP(AU$2,'TIS Site Config'!$A$3:$AQ$51,24,FALSE)="BA",
                VLOOKUP(AU$2,'TIS Site Config'!$A$3:$AQ$51,24,FALSE)="AD",
                VLOOKUP(AU$2,'TIS Site Config'!$A$3:$AQ$51,24,FALSE)="DC",
                VLOOKUP(AU$2,'TIS Site Config'!$A$3:$AQ$51,24,FALSE)="CB"),
                         1,0)+
  IF(AND(VLOOKUP(AU$2,'TIS Site Config'!$A$3:$AQ$51,22,FALSE)="Split",
                OR(VLOOKUP(AU$2,'TIS Site Config'!$A$3:$AQ$51,25,FALSE)="BA",
                VLOOKUP(AU$2,'TIS Site Config'!$A$3:$AQ$51,25,FALSE)="AD",
                VLOOKUP(AU$2,'TIS Site Config'!$A$3:$AQ$51,25,FALSE)="DC",
                VLOOKUP(AU$2,'TIS Site Config'!$A$3:$AQ$51,25,FALSE)="CB")),
                         1,0),0),0)</f>
        <v>1</v>
      </c>
      <c r="AV42" s="139">
        <f>IF(VLOOKUP(AV$2,'TIS Site Config'!$A$4:$AQ$51,3,FALSE)&lt;&gt;"Soft",
   IF(VLOOKUP(AV$2,'TIS Site Config'!$A$3:$AQ$51,6,FALSE)&lt;&gt;"Extreme Heated",
   IF(OR(VLOOKUP(AV$2,'TIS Site Config'!$A$3:$AQ$51,24,FALSE)="BA",
                VLOOKUP(AV$2,'TIS Site Config'!$A$3:$AQ$51,24,FALSE)="AD",
                VLOOKUP(AV$2,'TIS Site Config'!$A$3:$AQ$51,24,FALSE)="DC",
                VLOOKUP(AV$2,'TIS Site Config'!$A$3:$AQ$51,24,FALSE)="CB"),
                         1,0)+
  IF(AND(VLOOKUP(AV$2,'TIS Site Config'!$A$3:$AQ$51,22,FALSE)="Split",
                OR(VLOOKUP(AV$2,'TIS Site Config'!$A$3:$AQ$51,25,FALSE)="BA",
                VLOOKUP(AV$2,'TIS Site Config'!$A$3:$AQ$51,25,FALSE)="AD",
                VLOOKUP(AV$2,'TIS Site Config'!$A$3:$AQ$51,25,FALSE)="DC",
                VLOOKUP(AV$2,'TIS Site Config'!$A$3:$AQ$51,25,FALSE)="CB")),
                         1,0),0),0)</f>
        <v>0</v>
      </c>
      <c r="AW42" s="139">
        <f>IF(VLOOKUP(AW$2,'TIS Site Config'!$A$4:$AQ$51,3,FALSE)&lt;&gt;"Soft",
   IF(VLOOKUP(AW$2,'TIS Site Config'!$A$3:$AQ$51,6,FALSE)&lt;&gt;"Extreme Heated",
   IF(OR(VLOOKUP(AW$2,'TIS Site Config'!$A$3:$AQ$51,24,FALSE)="BA",
                VLOOKUP(AW$2,'TIS Site Config'!$A$3:$AQ$51,24,FALSE)="AD",
                VLOOKUP(AW$2,'TIS Site Config'!$A$3:$AQ$51,24,FALSE)="DC",
                VLOOKUP(AW$2,'TIS Site Config'!$A$3:$AQ$51,24,FALSE)="CB"),
                         1,0)+
  IF(AND(VLOOKUP(AW$2,'TIS Site Config'!$A$3:$AQ$51,22,FALSE)="Split",
                OR(VLOOKUP(AW$2,'TIS Site Config'!$A$3:$AQ$51,25,FALSE)="BA",
                VLOOKUP(AW$2,'TIS Site Config'!$A$3:$AQ$51,25,FALSE)="AD",
                VLOOKUP(AW$2,'TIS Site Config'!$A$3:$AQ$51,25,FALSE)="DC",
                VLOOKUP(AW$2,'TIS Site Config'!$A$3:$AQ$51,25,FALSE)="CB")),
                         1,0),0),0)</f>
        <v>1</v>
      </c>
      <c r="AX42" s="240">
        <f>IF(VLOOKUP(AX$2,'TIS Site Config'!$A$4:$AQ$51,3,FALSE)&lt;&gt;"Soft",
   IF(VLOOKUP(AX$2,'TIS Site Config'!$A$3:$AQ$51,6,FALSE)&lt;&gt;"Extreme Heated",
   IF(OR(VLOOKUP(AX$2,'TIS Site Config'!$A$3:$AQ$51,24,FALSE)="BA",
                VLOOKUP(AX$2,'TIS Site Config'!$A$3:$AQ$51,24,FALSE)="AD",
                VLOOKUP(AX$2,'TIS Site Config'!$A$3:$AQ$51,24,FALSE)="DC",
                VLOOKUP(AX$2,'TIS Site Config'!$A$3:$AQ$51,24,FALSE)="CB"),
                         1,0)+
  IF(AND(VLOOKUP(AX$2,'TIS Site Config'!$A$3:$AQ$51,22,FALSE)="Split",
                OR(VLOOKUP(AX$2,'TIS Site Config'!$A$3:$AQ$51,25,FALSE)="BA",
                VLOOKUP(AX$2,'TIS Site Config'!$A$3:$AQ$51,25,FALSE)="AD",
                VLOOKUP(AX$2,'TIS Site Config'!$A$3:$AQ$51,25,FALSE)="DC",
                VLOOKUP(AX$2,'TIS Site Config'!$A$3:$AQ$51,25,FALSE)="CB")),
                         1,0),0),0)</f>
        <v>1</v>
      </c>
      <c r="AY42" s="139">
        <f>IF(VLOOKUP(AY$2,'TIS Site Config'!$A$4:$AQ$51,3,FALSE)&lt;&gt;"Soft",
   IF(VLOOKUP(AY$2,'TIS Site Config'!$A$3:$AQ$51,6,FALSE)&lt;&gt;"Extreme Heated",
   IF(OR(VLOOKUP(AY$2,'TIS Site Config'!$A$3:$AQ$51,24,FALSE)="BA",
                VLOOKUP(AY$2,'TIS Site Config'!$A$3:$AQ$51,24,FALSE)="AD",
                VLOOKUP(AY$2,'TIS Site Config'!$A$3:$AQ$51,24,FALSE)="DC",
                VLOOKUP(AY$2,'TIS Site Config'!$A$3:$AQ$51,24,FALSE)="CB"),
                         1,0)+
  IF(AND(VLOOKUP(AY$2,'TIS Site Config'!$A$3:$AQ$51,22,FALSE)="Split",
                OR(VLOOKUP(AY$2,'TIS Site Config'!$A$3:$AQ$51,25,FALSE)="BA",
                VLOOKUP(AY$2,'TIS Site Config'!$A$3:$AQ$51,25,FALSE)="AD",
                VLOOKUP(AY$2,'TIS Site Config'!$A$3:$AQ$51,25,FALSE)="DC",
                VLOOKUP(AY$2,'TIS Site Config'!$A$3:$AQ$51,25,FALSE)="CB")),
                         1,0),0),0)</f>
        <v>0</v>
      </c>
      <c r="AZ42" s="239">
        <f>IF(VLOOKUP(AZ$2,'TIS Site Config'!$A$4:$AQ$51,3,FALSE)&lt;&gt;"Soft",
   IF(VLOOKUP(AZ$2,'TIS Site Config'!$A$3:$AQ$51,6,FALSE)&lt;&gt;"Extreme Heated",
   IF(OR(VLOOKUP(AZ$2,'TIS Site Config'!$A$3:$AQ$51,24,FALSE)="BA",
                VLOOKUP(AZ$2,'TIS Site Config'!$A$3:$AQ$51,24,FALSE)="AD",
                VLOOKUP(AZ$2,'TIS Site Config'!$A$3:$AQ$51,24,FALSE)="DC",
                VLOOKUP(AZ$2,'TIS Site Config'!$A$3:$AQ$51,24,FALSE)="CB"),
                         1,0)+
  IF(AND(VLOOKUP(AZ$2,'TIS Site Config'!$A$3:$AQ$51,22,FALSE)="Split",
                OR(VLOOKUP(AZ$2,'TIS Site Config'!$A$3:$AQ$51,25,FALSE)="BA",
                VLOOKUP(AZ$2,'TIS Site Config'!$A$3:$AQ$51,25,FALSE)="AD",
                VLOOKUP(AZ$2,'TIS Site Config'!$A$3:$AQ$51,25,FALSE)="DC",
                VLOOKUP(AZ$2,'TIS Site Config'!$A$3:$AQ$51,25,FALSE)="CB")),
                         1,0),0),0)</f>
        <v>0</v>
      </c>
      <c r="BA42" s="241">
        <f>IF(VLOOKUP(BA$2,'TIS Site Config'!$A$4:$AQ$51,3,FALSE)&lt;&gt;"Soft",
   IF(VLOOKUP(BA$2,'TIS Site Config'!$A$3:$AQ$51,6,FALSE)&lt;&gt;"Extreme Heated",
   IF(OR(VLOOKUP(BA$2,'TIS Site Config'!$A$3:$AQ$51,24,FALSE)="BA",
                VLOOKUP(BA$2,'TIS Site Config'!$A$3:$AQ$51,24,FALSE)="AD",
                VLOOKUP(BA$2,'TIS Site Config'!$A$3:$AQ$51,24,FALSE)="DC",
                VLOOKUP(BA$2,'TIS Site Config'!$A$3:$AQ$51,24,FALSE)="CB"),
                         1,0)+
  IF(AND(VLOOKUP(BA$2,'TIS Site Config'!$A$3:$AQ$51,22,FALSE)="Split",
                OR(VLOOKUP(BA$2,'TIS Site Config'!$A$3:$AQ$51,25,FALSE)="BA",
                VLOOKUP(BA$2,'TIS Site Config'!$A$3:$AQ$51,25,FALSE)="AD",
                VLOOKUP(BA$2,'TIS Site Config'!$A$3:$AQ$51,25,FALSE)="DC",
                VLOOKUP(BA$2,'TIS Site Config'!$A$3:$AQ$51,25,FALSE)="CB")),
                         1,0),0),0)</f>
        <v>1</v>
      </c>
      <c r="BB42" s="139">
        <f>IF(VLOOKUP(BB$2,'TIS Site Config'!$A$4:$AQ$51,3,FALSE)&lt;&gt;"Soft",
   IF(VLOOKUP(BB$2,'TIS Site Config'!$A$3:$AQ$51,6,FALSE)&lt;&gt;"Extreme Heated",
   IF(OR(VLOOKUP(BB$2,'TIS Site Config'!$A$3:$AQ$51,24,FALSE)="BA",
                VLOOKUP(BB$2,'TIS Site Config'!$A$3:$AQ$51,24,FALSE)="AD",
                VLOOKUP(BB$2,'TIS Site Config'!$A$3:$AQ$51,24,FALSE)="DC",
                VLOOKUP(BB$2,'TIS Site Config'!$A$3:$AQ$51,24,FALSE)="CB"),
                         1,0)+
  IF(AND(VLOOKUP(BB$2,'TIS Site Config'!$A$3:$AQ$51,22,FALSE)="Split",
                OR(VLOOKUP(BB$2,'TIS Site Config'!$A$3:$AQ$51,25,FALSE)="BA",
                VLOOKUP(BB$2,'TIS Site Config'!$A$3:$AQ$51,25,FALSE)="AD",
                VLOOKUP(BB$2,'TIS Site Config'!$A$3:$AQ$51,25,FALSE)="DC",
                VLOOKUP(BB$2,'TIS Site Config'!$A$3:$AQ$51,25,FALSE)="CB")),
                         1,0),0),0)</f>
        <v>0</v>
      </c>
      <c r="BC42" s="240">
        <f>IF(VLOOKUP(BC$2,'TIS Site Config'!$A$4:$AQ$51,3,FALSE)&lt;&gt;"Soft",
   IF(VLOOKUP(BC$2,'TIS Site Config'!$A$3:$AQ$51,6,FALSE)&lt;&gt;"Extreme Heated",
   IF(OR(VLOOKUP(BC$2,'TIS Site Config'!$A$3:$AQ$51,24,FALSE)="BA",
                VLOOKUP(BC$2,'TIS Site Config'!$A$3:$AQ$51,24,FALSE)="AD",
                VLOOKUP(BC$2,'TIS Site Config'!$A$3:$AQ$51,24,FALSE)="DC",
                VLOOKUP(BC$2,'TIS Site Config'!$A$3:$AQ$51,24,FALSE)="CB"),
                         1,0)+
  IF(AND(VLOOKUP(BC$2,'TIS Site Config'!$A$3:$AQ$51,22,FALSE)="Split",
                OR(VLOOKUP(BC$2,'TIS Site Config'!$A$3:$AQ$51,25,FALSE)="BA",
                VLOOKUP(BC$2,'TIS Site Config'!$A$3:$AQ$51,25,FALSE)="AD",
                VLOOKUP(BC$2,'TIS Site Config'!$A$3:$AQ$51,25,FALSE)="DC",
                VLOOKUP(BC$2,'TIS Site Config'!$A$3:$AQ$51,25,FALSE)="CB")),
                         1,0),0),0)</f>
        <v>0</v>
      </c>
      <c r="BD42" s="139">
        <f>IF(VLOOKUP(BD$2,'TIS Site Config'!$A$4:$AQ$51,3,FALSE)&lt;&gt;"Soft",
   IF(VLOOKUP(BD$2,'TIS Site Config'!$A$3:$AQ$51,6,FALSE)&lt;&gt;"Extreme Heated",
   IF(OR(VLOOKUP(BD$2,'TIS Site Config'!$A$3:$AQ$51,24,FALSE)="BA",
                VLOOKUP(BD$2,'TIS Site Config'!$A$3:$AQ$51,24,FALSE)="AD",
                VLOOKUP(BD$2,'TIS Site Config'!$A$3:$AQ$51,24,FALSE)="DC",
                VLOOKUP(BD$2,'TIS Site Config'!$A$3:$AQ$51,24,FALSE)="CB"),
                         1,0)+
  IF(AND(VLOOKUP(BD$2,'TIS Site Config'!$A$3:$AQ$51,22,FALSE)="Split",
                OR(VLOOKUP(BD$2,'TIS Site Config'!$A$3:$AQ$51,25,FALSE)="BA",
                VLOOKUP(BD$2,'TIS Site Config'!$A$3:$AQ$51,25,FALSE)="AD",
                VLOOKUP(BD$2,'TIS Site Config'!$A$3:$AQ$51,25,FALSE)="DC",
                VLOOKUP(BD$2,'TIS Site Config'!$A$3:$AQ$51,25,FALSE)="CB")),
                         1,0),0),0)</f>
        <v>0</v>
      </c>
      <c r="BE42" s="239">
        <f>IF(VLOOKUP(BE$2,'TIS Site Config'!$A$4:$AQ$51,3,FALSE)&lt;&gt;"Soft",
   IF(VLOOKUP(BE$2,'TIS Site Config'!$A$3:$AQ$51,6,FALSE)&lt;&gt;"Extreme Heated",
   IF(OR(VLOOKUP(BE$2,'TIS Site Config'!$A$3:$AQ$51,24,FALSE)="BA",
                VLOOKUP(BE$2,'TIS Site Config'!$A$3:$AQ$51,24,FALSE)="AD",
                VLOOKUP(BE$2,'TIS Site Config'!$A$3:$AQ$51,24,FALSE)="DC",
                VLOOKUP(BE$2,'TIS Site Config'!$A$3:$AQ$51,24,FALSE)="CB"),
                         1,0)+
  IF(AND(VLOOKUP(BE$2,'TIS Site Config'!$A$3:$AQ$51,22,FALSE)="Split",
                OR(VLOOKUP(BE$2,'TIS Site Config'!$A$3:$AQ$51,25,FALSE)="BA",
                VLOOKUP(BE$2,'TIS Site Config'!$A$3:$AQ$51,25,FALSE)="AD",
                VLOOKUP(BE$2,'TIS Site Config'!$A$3:$AQ$51,25,FALSE)="DC",
                VLOOKUP(BE$2,'TIS Site Config'!$A$3:$AQ$51,25,FALSE)="CB")),
                         1,0),0),0)</f>
        <v>0</v>
      </c>
      <c r="BF42" s="240">
        <f>IF(VLOOKUP(BF$2,'TIS Site Config'!$A$4:$AQ$51,3,FALSE)&lt;&gt;"Soft",
   IF(VLOOKUP(BF$2,'TIS Site Config'!$A$3:$AQ$51,6,FALSE)&lt;&gt;"Extreme Heated",
   IF(OR(VLOOKUP(BF$2,'TIS Site Config'!$A$3:$AQ$51,24,FALSE)="BA",
                VLOOKUP(BF$2,'TIS Site Config'!$A$3:$AQ$51,24,FALSE)="AD",
                VLOOKUP(BF$2,'TIS Site Config'!$A$3:$AQ$51,24,FALSE)="DC",
                VLOOKUP(BF$2,'TIS Site Config'!$A$3:$AQ$51,24,FALSE)="CB"),
                         1,0)+
  IF(AND(VLOOKUP(BF$2,'TIS Site Config'!$A$3:$AQ$51,22,FALSE)="Split",
                OR(VLOOKUP(BF$2,'TIS Site Config'!$A$3:$AQ$51,25,FALSE)="BA",
                VLOOKUP(BF$2,'TIS Site Config'!$A$3:$AQ$51,25,FALSE)="AD",
                VLOOKUP(BF$2,'TIS Site Config'!$A$3:$AQ$51,25,FALSE)="DC",
                VLOOKUP(BF$2,'TIS Site Config'!$A$3:$AQ$51,25,FALSE)="CB")),
                         1,0),0),0)</f>
        <v>0</v>
      </c>
      <c r="BG42" s="65">
        <f>IF(VLOOKUP(BG$2,'TIS Site Config'!$A$4:$AQ$51,3,FALSE)&lt;&gt;"Soft",
   IF(VLOOKUP(BG$2,'TIS Site Config'!$A$3:$AQ$51,6,FALSE)&lt;&gt;"Extreme Heated",
   IF(OR(VLOOKUP(BG$2,'TIS Site Config'!$A$3:$AQ$51,24,FALSE)="BA",
                VLOOKUP(BG$2,'TIS Site Config'!$A$3:$AQ$51,24,FALSE)="AD",
                VLOOKUP(BG$2,'TIS Site Config'!$A$3:$AQ$51,24,FALSE)="DC",
                VLOOKUP(BG$2,'TIS Site Config'!$A$3:$AQ$51,24,FALSE)="CB"),
                         1,0)+
  IF(AND(VLOOKUP(BG$2,'TIS Site Config'!$A$3:$AQ$51,22,FALSE)="Split",
                OR(VLOOKUP(BG$2,'TIS Site Config'!$A$3:$AQ$51,25,FALSE)="BA",
                VLOOKUP(BG$2,'TIS Site Config'!$A$3:$AQ$51,25,FALSE)="AD",
                VLOOKUP(BG$2,'TIS Site Config'!$A$3:$AQ$51,25,FALSE)="DC",
                VLOOKUP(BG$2,'TIS Site Config'!$A$3:$AQ$51,25,FALSE)="CB")),
                         1,0),0),0)</f>
        <v>1</v>
      </c>
      <c r="BH42" s="65">
        <f>IF(VLOOKUP(BH$2,'TIS Site Config'!$A$4:$AQ$51,3,FALSE)&lt;&gt;"Soft",
   IF(VLOOKUP(BH$2,'TIS Site Config'!$A$3:$AQ$51,6,FALSE)&lt;&gt;"Extreme Heated",
   IF(OR(VLOOKUP(BH$2,'TIS Site Config'!$A$3:$AQ$51,24,FALSE)="BA",
                VLOOKUP(BH$2,'TIS Site Config'!$A$3:$AQ$51,24,FALSE)="AD",
                VLOOKUP(BH$2,'TIS Site Config'!$A$3:$AQ$51,24,FALSE)="DC",
                VLOOKUP(BH$2,'TIS Site Config'!$A$3:$AQ$51,24,FALSE)="CB"),
                         1,0)+
  IF(AND(VLOOKUP(BH$2,'TIS Site Config'!$A$3:$AQ$51,22,FALSE)="Split",
                OR(VLOOKUP(BH$2,'TIS Site Config'!$A$3:$AQ$51,25,FALSE)="BA",
                VLOOKUP(BH$2,'TIS Site Config'!$A$3:$AQ$51,25,FALSE)="AD",
                VLOOKUP(BH$2,'TIS Site Config'!$A$3:$AQ$51,25,FALSE)="DC",
                VLOOKUP(BH$2,'TIS Site Config'!$A$3:$AQ$51,25,FALSE)="CB")),
                         1,0),0),0)</f>
        <v>1</v>
      </c>
      <c r="BK42" s="3">
        <v>47</v>
      </c>
      <c r="BL42" s="950" t="b">
        <f t="shared" si="3"/>
        <v>0</v>
      </c>
      <c r="BO42" s="950"/>
    </row>
    <row r="43" spans="1:67" x14ac:dyDescent="0.25">
      <c r="A43" s="1378"/>
      <c r="B43" s="1261"/>
      <c r="C43" s="69" t="s">
        <v>174</v>
      </c>
      <c r="D43" s="91">
        <v>1</v>
      </c>
      <c r="E43" s="85" t="s">
        <v>470</v>
      </c>
      <c r="F43" s="62">
        <f t="shared" si="1"/>
        <v>10</v>
      </c>
      <c r="G43" s="450"/>
      <c r="H43" s="451"/>
      <c r="I43" s="451"/>
      <c r="J43" s="451"/>
      <c r="K43" s="452"/>
      <c r="L43" s="491"/>
      <c r="M43" s="136">
        <f>IF(VLOOKUP(M$2,'TIS Site Config'!$A$4:$AQ$51,3,FALSE)&lt;&gt;"Soft",
   IF(VLOOKUP(M$2,'TIS Site Config'!$A$3:$AQ$51,6,FALSE)&lt;&gt;"Extreme Heated",
   IF(OR(VLOOKUP(M$2,'TIS Site Config'!$A$3:$AQ$51,24,FALSE)="AB",
                VLOOKUP(M$2,'TIS Site Config'!$A$3:$AQ$51,24,FALSE)="BC",
                VLOOKUP(M$2,'TIS Site Config'!$A$3:$AQ$51,24,FALSE)="CD",
                VLOOKUP(M$2,'TIS Site Config'!$A$3:$AQ$51,24,FALSE)="DA"),
                         1,0)+
  IF(AND(VLOOKUP(M$2,'TIS Site Config'!$A$3:$AQ$51,22,FALSE)="Split",
                OR(VLOOKUP(M$2,'TIS Site Config'!$A$3:$AQ$51,25,FALSE)="AB",
                VLOOKUP(M$2,'TIS Site Config'!$A$3:$AQ$51,25,FALSE)="BC",
                VLOOKUP(M$2,'TIS Site Config'!$A$3:$AQ$51,25,FALSE)="CD",
                VLOOKUP(M$2,'TIS Site Config'!$A$3:$AQ$51,25,FALSE)="DA")),
                         1,0),
0),0)</f>
        <v>0</v>
      </c>
      <c r="N43" s="222">
        <f>IF(VLOOKUP(N$2,'TIS Site Config'!$A$4:$AQ$51,3,FALSE)&lt;&gt;"Soft",
   IF(VLOOKUP(N$2,'TIS Site Config'!$A$3:$AQ$51,6,FALSE)&lt;&gt;"Extreme Heated",
   IF(OR(VLOOKUP(N$2,'TIS Site Config'!$A$3:$AQ$51,24,FALSE)="AB",
                VLOOKUP(N$2,'TIS Site Config'!$A$3:$AQ$51,24,FALSE)="BC",
                VLOOKUP(N$2,'TIS Site Config'!$A$3:$AQ$51,24,FALSE)="CD",
                VLOOKUP(N$2,'TIS Site Config'!$A$3:$AQ$51,24,FALSE)="DA"),
                         1,0)+
  IF(AND(VLOOKUP(N$2,'TIS Site Config'!$A$3:$AQ$51,22,FALSE)="Split",
                OR(VLOOKUP(N$2,'TIS Site Config'!$A$3:$AQ$51,25,FALSE)="AB",
                VLOOKUP(N$2,'TIS Site Config'!$A$3:$AQ$51,25,FALSE)="BC",
                VLOOKUP(N$2,'TIS Site Config'!$A$3:$AQ$51,25,FALSE)="CD",
                VLOOKUP(N$2,'TIS Site Config'!$A$3:$AQ$51,25,FALSE)="DA")),
                         1,0),
0),0)</f>
        <v>0</v>
      </c>
      <c r="O43" s="225">
        <f>IF(VLOOKUP(O$2,'TIS Site Config'!$A$4:$AQ$51,3,FALSE)&lt;&gt;"Soft",
   IF(VLOOKUP(O$2,'TIS Site Config'!$A$3:$AQ$51,6,FALSE)&lt;&gt;"Extreme Heated",
   IF(OR(VLOOKUP(O$2,'TIS Site Config'!$A$3:$AQ$51,24,FALSE)="AB",
                VLOOKUP(O$2,'TIS Site Config'!$A$3:$AQ$51,24,FALSE)="BC",
                VLOOKUP(O$2,'TIS Site Config'!$A$3:$AQ$51,24,FALSE)="CD",
                VLOOKUP(O$2,'TIS Site Config'!$A$3:$AQ$51,24,FALSE)="DA"),
                         1,0)+
  IF(AND(VLOOKUP(O$2,'TIS Site Config'!$A$3:$AQ$51,22,FALSE)="Split",
                OR(VLOOKUP(O$2,'TIS Site Config'!$A$3:$AQ$51,25,FALSE)="AB",
                VLOOKUP(O$2,'TIS Site Config'!$A$3:$AQ$51,25,FALSE)="BC",
                VLOOKUP(O$2,'TIS Site Config'!$A$3:$AQ$51,25,FALSE)="CD",
                VLOOKUP(O$2,'TIS Site Config'!$A$3:$AQ$51,25,FALSE)="DA")),
                         1,0),
0),0)</f>
        <v>0</v>
      </c>
      <c r="P43" s="21">
        <f>IF(VLOOKUP(P$2,'TIS Site Config'!$A$4:$AQ$51,3,FALSE)&lt;&gt;"Soft",
   IF(VLOOKUP(P$2,'TIS Site Config'!$A$3:$AQ$51,6,FALSE)&lt;&gt;"Extreme Heated",
   IF(OR(VLOOKUP(P$2,'TIS Site Config'!$A$3:$AQ$51,24,FALSE)="AB",
                VLOOKUP(P$2,'TIS Site Config'!$A$3:$AQ$51,24,FALSE)="BC",
                VLOOKUP(P$2,'TIS Site Config'!$A$3:$AQ$51,24,FALSE)="CD",
                VLOOKUP(P$2,'TIS Site Config'!$A$3:$AQ$51,24,FALSE)="DA"),
                         1,0)+
  IF(AND(VLOOKUP(P$2,'TIS Site Config'!$A$3:$AQ$51,22,FALSE)="Split",
                OR(VLOOKUP(P$2,'TIS Site Config'!$A$3:$AQ$51,25,FALSE)="AB",
                VLOOKUP(P$2,'TIS Site Config'!$A$3:$AQ$51,25,FALSE)="BC",
                VLOOKUP(P$2,'TIS Site Config'!$A$3:$AQ$51,25,FALSE)="CD",
                VLOOKUP(P$2,'TIS Site Config'!$A$3:$AQ$51,25,FALSE)="DA")),
                         1,0),
0),0)</f>
        <v>0</v>
      </c>
      <c r="Q43" s="222">
        <f>IF(VLOOKUP(Q$2,'TIS Site Config'!$A$4:$AQ$51,3,FALSE)&lt;&gt;"Soft",
   IF(VLOOKUP(Q$2,'TIS Site Config'!$A$3:$AQ$51,6,FALSE)&lt;&gt;"Extreme Heated",
   IF(OR(VLOOKUP(Q$2,'TIS Site Config'!$A$3:$AQ$51,24,FALSE)="AB",
                VLOOKUP(Q$2,'TIS Site Config'!$A$3:$AQ$51,24,FALSE)="BC",
                VLOOKUP(Q$2,'TIS Site Config'!$A$3:$AQ$51,24,FALSE)="CD",
                VLOOKUP(Q$2,'TIS Site Config'!$A$3:$AQ$51,24,FALSE)="DA"),
                         1,0)+
  IF(AND(VLOOKUP(Q$2,'TIS Site Config'!$A$3:$AQ$51,22,FALSE)="Split",
                OR(VLOOKUP(Q$2,'TIS Site Config'!$A$3:$AQ$51,25,FALSE)="AB",
                VLOOKUP(Q$2,'TIS Site Config'!$A$3:$AQ$51,25,FALSE)="BC",
                VLOOKUP(Q$2,'TIS Site Config'!$A$3:$AQ$51,25,FALSE)="CD",
                VLOOKUP(Q$2,'TIS Site Config'!$A$3:$AQ$51,25,FALSE)="DA")),
                         1,0),
0),0)</f>
        <v>0</v>
      </c>
      <c r="R43" s="136">
        <f>IF(VLOOKUP(R$2,'TIS Site Config'!$A$4:$AQ$51,3,FALSE)&lt;&gt;"Soft",
   IF(VLOOKUP(R$2,'TIS Site Config'!$A$3:$AQ$51,6,FALSE)&lt;&gt;"Extreme Heated",
   IF(OR(VLOOKUP(R$2,'TIS Site Config'!$A$3:$AQ$51,24,FALSE)="AB",
                VLOOKUP(R$2,'TIS Site Config'!$A$3:$AQ$51,24,FALSE)="BC",
                VLOOKUP(R$2,'TIS Site Config'!$A$3:$AQ$51,24,FALSE)="CD",
                VLOOKUP(R$2,'TIS Site Config'!$A$3:$AQ$51,24,FALSE)="DA"),
                         1,0)+
  IF(AND(VLOOKUP(R$2,'TIS Site Config'!$A$3:$AQ$51,22,FALSE)="Split",
                OR(VLOOKUP(R$2,'TIS Site Config'!$A$3:$AQ$51,25,FALSE)="AB",
                VLOOKUP(R$2,'TIS Site Config'!$A$3:$AQ$51,25,FALSE)="BC",
                VLOOKUP(R$2,'TIS Site Config'!$A$3:$AQ$51,25,FALSE)="CD",
                VLOOKUP(R$2,'TIS Site Config'!$A$3:$AQ$51,25,FALSE)="DA")),
                         1,0),
0),0)</f>
        <v>1</v>
      </c>
      <c r="S43" s="309">
        <f>IF(VLOOKUP(S$2,'TIS Site Config'!$A$4:$AQ$51,3,FALSE)&lt;&gt;"Soft",
   IF(VLOOKUP(S$2,'TIS Site Config'!$A$3:$AQ$51,6,FALSE)&lt;&gt;"Extreme Heated",
   IF(OR(VLOOKUP(S$2,'TIS Site Config'!$A$3:$AQ$51,24,FALSE)="AB",
                VLOOKUP(S$2,'TIS Site Config'!$A$3:$AQ$51,24,FALSE)="BC",
                VLOOKUP(S$2,'TIS Site Config'!$A$3:$AQ$51,24,FALSE)="CD",
                VLOOKUP(S$2,'TIS Site Config'!$A$3:$AQ$51,24,FALSE)="DA"),
                         1,0)+
  IF(AND(VLOOKUP(S$2,'TIS Site Config'!$A$3:$AQ$51,22,FALSE)="Split",
                OR(VLOOKUP(S$2,'TIS Site Config'!$A$3:$AQ$51,25,FALSE)="AB",
                VLOOKUP(S$2,'TIS Site Config'!$A$3:$AQ$51,25,FALSE)="BC",
                VLOOKUP(S$2,'TIS Site Config'!$A$3:$AQ$51,25,FALSE)="CD",
                VLOOKUP(S$2,'TIS Site Config'!$A$3:$AQ$51,25,FALSE)="DA")),
                         1,0),
0),0)</f>
        <v>0</v>
      </c>
      <c r="T43" s="222">
        <f>IF(VLOOKUP(T$2,'TIS Site Config'!$A$4:$AQ$51,3,FALSE)&lt;&gt;"Soft",
   IF(VLOOKUP(T$2,'TIS Site Config'!$A$3:$AQ$51,6,FALSE)&lt;&gt;"Extreme Heated",
   IF(OR(VLOOKUP(T$2,'TIS Site Config'!$A$3:$AQ$51,24,FALSE)="AB",
                VLOOKUP(T$2,'TIS Site Config'!$A$3:$AQ$51,24,FALSE)="BC",
                VLOOKUP(T$2,'TIS Site Config'!$A$3:$AQ$51,24,FALSE)="CD",
                VLOOKUP(T$2,'TIS Site Config'!$A$3:$AQ$51,24,FALSE)="DA"),
                         1,0)+
  IF(AND(VLOOKUP(T$2,'TIS Site Config'!$A$3:$AQ$51,22,FALSE)="Split",
                OR(VLOOKUP(T$2,'TIS Site Config'!$A$3:$AQ$51,25,FALSE)="AB",
                VLOOKUP(T$2,'TIS Site Config'!$A$3:$AQ$51,25,FALSE)="BC",
                VLOOKUP(T$2,'TIS Site Config'!$A$3:$AQ$51,25,FALSE)="CD",
                VLOOKUP(T$2,'TIS Site Config'!$A$3:$AQ$51,25,FALSE)="DA")),
                         1,0),
0),0)</f>
        <v>1</v>
      </c>
      <c r="U43" s="136">
        <f>IF(VLOOKUP(U$2,'TIS Site Config'!$A$4:$AQ$51,3,FALSE)&lt;&gt;"Soft",
   IF(VLOOKUP(U$2,'TIS Site Config'!$A$3:$AQ$51,6,FALSE)&lt;&gt;"Extreme Heated",
   IF(OR(VLOOKUP(U$2,'TIS Site Config'!$A$3:$AQ$51,24,FALSE)="AB",
                VLOOKUP(U$2,'TIS Site Config'!$A$3:$AQ$51,24,FALSE)="BC",
                VLOOKUP(U$2,'TIS Site Config'!$A$3:$AQ$51,24,FALSE)="CD",
                VLOOKUP(U$2,'TIS Site Config'!$A$3:$AQ$51,24,FALSE)="DA"),
                         1,0)+
  IF(AND(VLOOKUP(U$2,'TIS Site Config'!$A$3:$AQ$51,22,FALSE)="Split",
                OR(VLOOKUP(U$2,'TIS Site Config'!$A$3:$AQ$51,25,FALSE)="AB",
                VLOOKUP(U$2,'TIS Site Config'!$A$3:$AQ$51,25,FALSE)="BC",
                VLOOKUP(U$2,'TIS Site Config'!$A$3:$AQ$51,25,FALSE)="CD",
                VLOOKUP(U$2,'TIS Site Config'!$A$3:$AQ$51,25,FALSE)="DA")),
                         1,0),
0),0)</f>
        <v>0</v>
      </c>
      <c r="V43" s="222">
        <f>IF(VLOOKUP(V$2,'TIS Site Config'!$A$4:$AQ$51,3,FALSE)&lt;&gt;"Soft",
   IF(VLOOKUP(V$2,'TIS Site Config'!$A$3:$AQ$51,6,FALSE)&lt;&gt;"Extreme Heated",
   IF(OR(VLOOKUP(V$2,'TIS Site Config'!$A$3:$AQ$51,24,FALSE)="AB",
                VLOOKUP(V$2,'TIS Site Config'!$A$3:$AQ$51,24,FALSE)="BC",
                VLOOKUP(V$2,'TIS Site Config'!$A$3:$AQ$51,24,FALSE)="CD",
                VLOOKUP(V$2,'TIS Site Config'!$A$3:$AQ$51,24,FALSE)="DA"),
                         1,0)+
  IF(AND(VLOOKUP(V$2,'TIS Site Config'!$A$3:$AQ$51,22,FALSE)="Split",
                OR(VLOOKUP(V$2,'TIS Site Config'!$A$3:$AQ$51,25,FALSE)="AB",
                VLOOKUP(V$2,'TIS Site Config'!$A$3:$AQ$51,25,FALSE)="BC",
                VLOOKUP(V$2,'TIS Site Config'!$A$3:$AQ$51,25,FALSE)="CD",
                VLOOKUP(V$2,'TIS Site Config'!$A$3:$AQ$51,25,FALSE)="DA")),
                         1,0),
0),0)</f>
        <v>0</v>
      </c>
      <c r="W43" s="224">
        <f>IF(VLOOKUP(W$2,'TIS Site Config'!$A$4:$AQ$51,3,FALSE)&lt;&gt;"Soft",
   IF(VLOOKUP(W$2,'TIS Site Config'!$A$3:$AQ$51,6,FALSE)&lt;&gt;"Extreme Heated",
   IF(OR(VLOOKUP(W$2,'TIS Site Config'!$A$3:$AQ$51,24,FALSE)="AB",
                VLOOKUP(W$2,'TIS Site Config'!$A$3:$AQ$51,24,FALSE)="BC",
                VLOOKUP(W$2,'TIS Site Config'!$A$3:$AQ$51,24,FALSE)="CD",
                VLOOKUP(W$2,'TIS Site Config'!$A$3:$AQ$51,24,FALSE)="DA"),
                         1,0)+
  IF(AND(VLOOKUP(W$2,'TIS Site Config'!$A$3:$AQ$51,22,FALSE)="Split",
                OR(VLOOKUP(W$2,'TIS Site Config'!$A$3:$AQ$51,25,FALSE)="AB",
                VLOOKUP(W$2,'TIS Site Config'!$A$3:$AQ$51,25,FALSE)="BC",
                VLOOKUP(W$2,'TIS Site Config'!$A$3:$AQ$51,25,FALSE)="CD",
                VLOOKUP(W$2,'TIS Site Config'!$A$3:$AQ$51,25,FALSE)="DA")),
                         1,0),
0),0)</f>
        <v>1</v>
      </c>
      <c r="X43" s="21">
        <f>IF(VLOOKUP(X$2,'TIS Site Config'!$A$4:$AQ$51,3,FALSE)&lt;&gt;"Soft",
   IF(VLOOKUP(X$2,'TIS Site Config'!$A$3:$AQ$51,6,FALSE)&lt;&gt;"Extreme Heated",
   IF(OR(VLOOKUP(X$2,'TIS Site Config'!$A$3:$AQ$51,24,FALSE)="AB",
                VLOOKUP(X$2,'TIS Site Config'!$A$3:$AQ$51,24,FALSE)="BC",
                VLOOKUP(X$2,'TIS Site Config'!$A$3:$AQ$51,24,FALSE)="CD",
                VLOOKUP(X$2,'TIS Site Config'!$A$3:$AQ$51,24,FALSE)="DA"),
                         1,0)+
  IF(AND(VLOOKUP(X$2,'TIS Site Config'!$A$3:$AQ$51,22,FALSE)="Split",
                OR(VLOOKUP(X$2,'TIS Site Config'!$A$3:$AQ$51,25,FALSE)="AB",
                VLOOKUP(X$2,'TIS Site Config'!$A$3:$AQ$51,25,FALSE)="BC",
                VLOOKUP(X$2,'TIS Site Config'!$A$3:$AQ$51,25,FALSE)="CD",
                VLOOKUP(X$2,'TIS Site Config'!$A$3:$AQ$51,25,FALSE)="DA")),
                         1,0),
0),0)</f>
        <v>0</v>
      </c>
      <c r="Y43" s="222">
        <f>IF(VLOOKUP(Y$2,'TIS Site Config'!$A$4:$AQ$51,3,FALSE)&lt;&gt;"Soft",
   IF(VLOOKUP(Y$2,'TIS Site Config'!$A$3:$AQ$51,6,FALSE)&lt;&gt;"Extreme Heated",
   IF(OR(VLOOKUP(Y$2,'TIS Site Config'!$A$3:$AQ$51,24,FALSE)="AB",
                VLOOKUP(Y$2,'TIS Site Config'!$A$3:$AQ$51,24,FALSE)="BC",
                VLOOKUP(Y$2,'TIS Site Config'!$A$3:$AQ$51,24,FALSE)="CD",
                VLOOKUP(Y$2,'TIS Site Config'!$A$3:$AQ$51,24,FALSE)="DA"),
                         1,0)+
  IF(AND(VLOOKUP(Y$2,'TIS Site Config'!$A$3:$AQ$51,22,FALSE)="Split",
                OR(VLOOKUP(Y$2,'TIS Site Config'!$A$3:$AQ$51,25,FALSE)="AB",
                VLOOKUP(Y$2,'TIS Site Config'!$A$3:$AQ$51,25,FALSE)="BC",
                VLOOKUP(Y$2,'TIS Site Config'!$A$3:$AQ$51,25,FALSE)="CD",
                VLOOKUP(Y$2,'TIS Site Config'!$A$3:$AQ$51,25,FALSE)="DA")),
                         1,0),
0),0)</f>
        <v>0</v>
      </c>
      <c r="Z43" s="136">
        <f>IF(VLOOKUP(Z$2,'TIS Site Config'!$A$4:$AQ$51,3,FALSE)&lt;&gt;"Soft",
   IF(VLOOKUP(Z$2,'TIS Site Config'!$A$3:$AQ$51,6,FALSE)&lt;&gt;"Extreme Heated",
   IF(OR(VLOOKUP(Z$2,'TIS Site Config'!$A$3:$AQ$51,24,FALSE)="AB",
                VLOOKUP(Z$2,'TIS Site Config'!$A$3:$AQ$51,24,FALSE)="BC",
                VLOOKUP(Z$2,'TIS Site Config'!$A$3:$AQ$51,24,FALSE)="CD",
                VLOOKUP(Z$2,'TIS Site Config'!$A$3:$AQ$51,24,FALSE)="DA"),
                         1,0)+
  IF(AND(VLOOKUP(Z$2,'TIS Site Config'!$A$3:$AQ$51,22,FALSE)="Split",
                OR(VLOOKUP(Z$2,'TIS Site Config'!$A$3:$AQ$51,25,FALSE)="AB",
                VLOOKUP(Z$2,'TIS Site Config'!$A$3:$AQ$51,25,FALSE)="BC",
                VLOOKUP(Z$2,'TIS Site Config'!$A$3:$AQ$51,25,FALSE)="CD",
                VLOOKUP(Z$2,'TIS Site Config'!$A$3:$AQ$51,25,FALSE)="DA")),
                         1,0),
0),0)</f>
        <v>0</v>
      </c>
      <c r="AA43" s="21">
        <f>IF(VLOOKUP(AA$2,'TIS Site Config'!$A$4:$AQ$51,3,FALSE)&lt;&gt;"Soft",
   IF(VLOOKUP(AA$2,'TIS Site Config'!$A$3:$AQ$51,6,FALSE)&lt;&gt;"Extreme Heated",
   IF(OR(VLOOKUP(AA$2,'TIS Site Config'!$A$3:$AQ$51,24,FALSE)="AB",
                VLOOKUP(AA$2,'TIS Site Config'!$A$3:$AQ$51,24,FALSE)="BC",
                VLOOKUP(AA$2,'TIS Site Config'!$A$3:$AQ$51,24,FALSE)="CD",
                VLOOKUP(AA$2,'TIS Site Config'!$A$3:$AQ$51,24,FALSE)="DA"),
                         1,0)+
  IF(AND(VLOOKUP(AA$2,'TIS Site Config'!$A$3:$AQ$51,22,FALSE)="Split",
                OR(VLOOKUP(AA$2,'TIS Site Config'!$A$3:$AQ$51,25,FALSE)="AB",
                VLOOKUP(AA$2,'TIS Site Config'!$A$3:$AQ$51,25,FALSE)="BC",
                VLOOKUP(AA$2,'TIS Site Config'!$A$3:$AQ$51,25,FALSE)="CD",
                VLOOKUP(AA$2,'TIS Site Config'!$A$3:$AQ$51,25,FALSE)="DA")),
                         1,0),
0),0)</f>
        <v>0</v>
      </c>
      <c r="AB43" s="222">
        <f>IF(VLOOKUP(AB$2,'TIS Site Config'!$A$4:$AQ$51,3,FALSE)&lt;&gt;"Soft",
   IF(VLOOKUP(AB$2,'TIS Site Config'!$A$3:$AQ$51,6,FALSE)&lt;&gt;"Extreme Heated",
   IF(OR(VLOOKUP(AB$2,'TIS Site Config'!$A$3:$AQ$51,24,FALSE)="AB",
                VLOOKUP(AB$2,'TIS Site Config'!$A$3:$AQ$51,24,FALSE)="BC",
                VLOOKUP(AB$2,'TIS Site Config'!$A$3:$AQ$51,24,FALSE)="CD",
                VLOOKUP(AB$2,'TIS Site Config'!$A$3:$AQ$51,24,FALSE)="DA"),
                         1,0)+
  IF(AND(VLOOKUP(AB$2,'TIS Site Config'!$A$3:$AQ$51,22,FALSE)="Split",
                OR(VLOOKUP(AB$2,'TIS Site Config'!$A$3:$AQ$51,25,FALSE)="AB",
                VLOOKUP(AB$2,'TIS Site Config'!$A$3:$AQ$51,25,FALSE)="BC",
                VLOOKUP(AB$2,'TIS Site Config'!$A$3:$AQ$51,25,FALSE)="CD",
                VLOOKUP(AB$2,'TIS Site Config'!$A$3:$AQ$51,25,FALSE)="DA")),
                         1,0),
0),0)</f>
        <v>0</v>
      </c>
      <c r="AC43" s="21">
        <f>IF(VLOOKUP(AC$2,'TIS Site Config'!$A$4:$AQ$51,3,FALSE)&lt;&gt;"Soft",
   IF(VLOOKUP(AC$2,'TIS Site Config'!$A$3:$AQ$51,6,FALSE)&lt;&gt;"Extreme Heated",
   IF(OR(VLOOKUP(AC$2,'TIS Site Config'!$A$3:$AQ$51,24,FALSE)="AB",
                VLOOKUP(AC$2,'TIS Site Config'!$A$3:$AQ$51,24,FALSE)="BC",
                VLOOKUP(AC$2,'TIS Site Config'!$A$3:$AQ$51,24,FALSE)="CD",
                VLOOKUP(AC$2,'TIS Site Config'!$A$3:$AQ$51,24,FALSE)="DA"),
                         1,0)+
  IF(AND(VLOOKUP(AC$2,'TIS Site Config'!$A$3:$AQ$51,22,FALSE)="Split",
                OR(VLOOKUP(AC$2,'TIS Site Config'!$A$3:$AQ$51,25,FALSE)="AB",
                VLOOKUP(AC$2,'TIS Site Config'!$A$3:$AQ$51,25,FALSE)="BC",
                VLOOKUP(AC$2,'TIS Site Config'!$A$3:$AQ$51,25,FALSE)="CD",
                VLOOKUP(AC$2,'TIS Site Config'!$A$3:$AQ$51,25,FALSE)="DA")),
                         1,0),
0),0)</f>
        <v>0</v>
      </c>
      <c r="AD43" s="223">
        <f>IF(VLOOKUP(AD$2,'TIS Site Config'!$A$4:$AQ$51,3,FALSE)&lt;&gt;"Soft",
   IF(VLOOKUP(AD$2,'TIS Site Config'!$A$3:$AQ$51,6,FALSE)&lt;&gt;"Extreme Heated",
   IF(OR(VLOOKUP(AD$2,'TIS Site Config'!$A$3:$AQ$51,24,FALSE)="AB",
                VLOOKUP(AD$2,'TIS Site Config'!$A$3:$AQ$51,24,FALSE)="BC",
                VLOOKUP(AD$2,'TIS Site Config'!$A$3:$AQ$51,24,FALSE)="CD",
                VLOOKUP(AD$2,'TIS Site Config'!$A$3:$AQ$51,24,FALSE)="DA"),
                         1,0)+
  IF(AND(VLOOKUP(AD$2,'TIS Site Config'!$A$3:$AQ$51,22,FALSE)="Split",
                OR(VLOOKUP(AD$2,'TIS Site Config'!$A$3:$AQ$51,25,FALSE)="AB",
                VLOOKUP(AD$2,'TIS Site Config'!$A$3:$AQ$51,25,FALSE)="BC",
                VLOOKUP(AD$2,'TIS Site Config'!$A$3:$AQ$51,25,FALSE)="CD",
                VLOOKUP(AD$2,'TIS Site Config'!$A$3:$AQ$51,25,FALSE)="DA")),
                         1,0),
0),0)</f>
        <v>1</v>
      </c>
      <c r="AE43" s="223">
        <f>IF(VLOOKUP(AE$2,'TIS Site Config'!$A$4:$AQ$51,3,FALSE)&lt;&gt;"Soft",
   IF(VLOOKUP(AE$2,'TIS Site Config'!$A$3:$AQ$51,6,FALSE)&lt;&gt;"Extreme Heated",
   IF(OR(VLOOKUP(AE$2,'TIS Site Config'!$A$3:$AQ$51,24,FALSE)="AB",
                VLOOKUP(AE$2,'TIS Site Config'!$A$3:$AQ$51,24,FALSE)="BC",
                VLOOKUP(AE$2,'TIS Site Config'!$A$3:$AQ$51,24,FALSE)="CD",
                VLOOKUP(AE$2,'TIS Site Config'!$A$3:$AQ$51,24,FALSE)="DA"),
                         1,0)+
  IF(AND(VLOOKUP(AE$2,'TIS Site Config'!$A$3:$AQ$51,22,FALSE)="Split",
                OR(VLOOKUP(AE$2,'TIS Site Config'!$A$3:$AQ$51,25,FALSE)="AB",
                VLOOKUP(AE$2,'TIS Site Config'!$A$3:$AQ$51,25,FALSE)="BC",
                VLOOKUP(AE$2,'TIS Site Config'!$A$3:$AQ$51,25,FALSE)="CD",
                VLOOKUP(AE$2,'TIS Site Config'!$A$3:$AQ$51,25,FALSE)="DA")),
                         1,0),
0),0)</f>
        <v>1</v>
      </c>
      <c r="AF43" s="16">
        <f>IF(VLOOKUP(AF$2,'TIS Site Config'!$A$4:$AQ$51,3,FALSE)&lt;&gt;"Soft",
   IF(VLOOKUP(AF$2,'TIS Site Config'!$A$3:$AQ$51,6,FALSE)&lt;&gt;"Extreme Heated",
   IF(OR(VLOOKUP(AF$2,'TIS Site Config'!$A$3:$AQ$51,24,FALSE)="AB",
                VLOOKUP(AF$2,'TIS Site Config'!$A$3:$AQ$51,24,FALSE)="BC",
                VLOOKUP(AF$2,'TIS Site Config'!$A$3:$AQ$51,24,FALSE)="CD",
                VLOOKUP(AF$2,'TIS Site Config'!$A$3:$AQ$51,24,FALSE)="DA"),
                         1,0)+
  IF(AND(VLOOKUP(AF$2,'TIS Site Config'!$A$3:$AQ$51,22,FALSE)="Split",
                OR(VLOOKUP(AF$2,'TIS Site Config'!$A$3:$AQ$51,25,FALSE)="AB",
                VLOOKUP(AF$2,'TIS Site Config'!$A$3:$AQ$51,25,FALSE)="BC",
                VLOOKUP(AF$2,'TIS Site Config'!$A$3:$AQ$51,25,FALSE)="CD",
                VLOOKUP(AF$2,'TIS Site Config'!$A$3:$AQ$51,25,FALSE)="DA")),
                         1,0),
0),0)</f>
        <v>0</v>
      </c>
      <c r="AG43" s="21">
        <f>IF(VLOOKUP(AG$2,'TIS Site Config'!$A$4:$AQ$51,3,FALSE)&lt;&gt;"Soft",
   IF(VLOOKUP(AG$2,'TIS Site Config'!$A$3:$AQ$51,6,FALSE)&lt;&gt;"Extreme Heated",
   IF(OR(VLOOKUP(AG$2,'TIS Site Config'!$A$3:$AQ$51,24,FALSE)="AB",
                VLOOKUP(AG$2,'TIS Site Config'!$A$3:$AQ$51,24,FALSE)="BC",
                VLOOKUP(AG$2,'TIS Site Config'!$A$3:$AQ$51,24,FALSE)="CD",
                VLOOKUP(AG$2,'TIS Site Config'!$A$3:$AQ$51,24,FALSE)="DA"),
                         1,0)+
  IF(AND(VLOOKUP(AG$2,'TIS Site Config'!$A$3:$AQ$51,22,FALSE)="Split",
                OR(VLOOKUP(AG$2,'TIS Site Config'!$A$3:$AQ$51,25,FALSE)="AB",
                VLOOKUP(AG$2,'TIS Site Config'!$A$3:$AQ$51,25,FALSE)="BC",
                VLOOKUP(AG$2,'TIS Site Config'!$A$3:$AQ$51,25,FALSE)="CD",
                VLOOKUP(AG$2,'TIS Site Config'!$A$3:$AQ$51,25,FALSE)="DA")),
                         1,0),
0),0)</f>
        <v>0</v>
      </c>
      <c r="AH43" s="222">
        <f>IF(VLOOKUP(AH$2,'TIS Site Config'!$A$4:$AQ$51,3,FALSE)&lt;&gt;"Soft",
   IF(VLOOKUP(AH$2,'TIS Site Config'!$A$3:$AQ$51,6,FALSE)&lt;&gt;"Extreme Heated",
   IF(OR(VLOOKUP(AH$2,'TIS Site Config'!$A$3:$AQ$51,24,FALSE)="AB",
                VLOOKUP(AH$2,'TIS Site Config'!$A$3:$AQ$51,24,FALSE)="BC",
                VLOOKUP(AH$2,'TIS Site Config'!$A$3:$AQ$51,24,FALSE)="CD",
                VLOOKUP(AH$2,'TIS Site Config'!$A$3:$AQ$51,24,FALSE)="DA"),
                         1,0)+
  IF(AND(VLOOKUP(AH$2,'TIS Site Config'!$A$3:$AQ$51,22,FALSE)="Split",
                OR(VLOOKUP(AH$2,'TIS Site Config'!$A$3:$AQ$51,25,FALSE)="AB",
                VLOOKUP(AH$2,'TIS Site Config'!$A$3:$AQ$51,25,FALSE)="BC",
                VLOOKUP(AH$2,'TIS Site Config'!$A$3:$AQ$51,25,FALSE)="CD",
                VLOOKUP(AH$2,'TIS Site Config'!$A$3:$AQ$51,25,FALSE)="DA")),
                         1,0),
0),0)</f>
        <v>0</v>
      </c>
      <c r="AI43" s="136">
        <f>IF(VLOOKUP(AI$2,'TIS Site Config'!$A$4:$AQ$51,3,FALSE)&lt;&gt;"Soft",
   IF(VLOOKUP(AI$2,'TIS Site Config'!$A$3:$AQ$51,6,FALSE)&lt;&gt;"Extreme Heated",
   IF(OR(VLOOKUP(AI$2,'TIS Site Config'!$A$3:$AQ$51,24,FALSE)="AB",
                VLOOKUP(AI$2,'TIS Site Config'!$A$3:$AQ$51,24,FALSE)="BC",
                VLOOKUP(AI$2,'TIS Site Config'!$A$3:$AQ$51,24,FALSE)="CD",
                VLOOKUP(AI$2,'TIS Site Config'!$A$3:$AQ$51,24,FALSE)="DA"),
                         1,0)+
  IF(AND(VLOOKUP(AI$2,'TIS Site Config'!$A$3:$AQ$51,22,FALSE)="Split",
                OR(VLOOKUP(AI$2,'TIS Site Config'!$A$3:$AQ$51,25,FALSE)="AB",
                VLOOKUP(AI$2,'TIS Site Config'!$A$3:$AQ$51,25,FALSE)="BC",
                VLOOKUP(AI$2,'TIS Site Config'!$A$3:$AQ$51,25,FALSE)="CD",
                VLOOKUP(AI$2,'TIS Site Config'!$A$3:$AQ$51,25,FALSE)="DA")),
                         1,0),
0),0)</f>
        <v>0</v>
      </c>
      <c r="AJ43" s="21">
        <f>IF(VLOOKUP(AJ$2,'TIS Site Config'!$A$4:$AQ$51,3,FALSE)&lt;&gt;"Soft",
   IF(VLOOKUP(AJ$2,'TIS Site Config'!$A$3:$AQ$51,6,FALSE)&lt;&gt;"Extreme Heated",
   IF(OR(VLOOKUP(AJ$2,'TIS Site Config'!$A$3:$AQ$51,24,FALSE)="AB",
                VLOOKUP(AJ$2,'TIS Site Config'!$A$3:$AQ$51,24,FALSE)="BC",
                VLOOKUP(AJ$2,'TIS Site Config'!$A$3:$AQ$51,24,FALSE)="CD",
                VLOOKUP(AJ$2,'TIS Site Config'!$A$3:$AQ$51,24,FALSE)="DA"),
                         1,0)+
  IF(AND(VLOOKUP(AJ$2,'TIS Site Config'!$A$3:$AQ$51,22,FALSE)="Split",
                OR(VLOOKUP(AJ$2,'TIS Site Config'!$A$3:$AQ$51,25,FALSE)="AB",
                VLOOKUP(AJ$2,'TIS Site Config'!$A$3:$AQ$51,25,FALSE)="BC",
                VLOOKUP(AJ$2,'TIS Site Config'!$A$3:$AQ$51,25,FALSE)="CD",
                VLOOKUP(AJ$2,'TIS Site Config'!$A$3:$AQ$51,25,FALSE)="DA")),
                         1,0),
0),0)</f>
        <v>0</v>
      </c>
      <c r="AK43" s="222">
        <f>IF(VLOOKUP(AK$2,'TIS Site Config'!$A$4:$AQ$51,3,FALSE)&lt;&gt;"Soft",
   IF(VLOOKUP(AK$2,'TIS Site Config'!$A$3:$AQ$51,6,FALSE)&lt;&gt;"Extreme Heated",
   IF(OR(VLOOKUP(AK$2,'TIS Site Config'!$A$3:$AQ$51,24,FALSE)="AB",
                VLOOKUP(AK$2,'TIS Site Config'!$A$3:$AQ$51,24,FALSE)="BC",
                VLOOKUP(AK$2,'TIS Site Config'!$A$3:$AQ$51,24,FALSE)="CD",
                VLOOKUP(AK$2,'TIS Site Config'!$A$3:$AQ$51,24,FALSE)="DA"),
                         1,0)+
  IF(AND(VLOOKUP(AK$2,'TIS Site Config'!$A$3:$AQ$51,22,FALSE)="Split",
                OR(VLOOKUP(AK$2,'TIS Site Config'!$A$3:$AQ$51,25,FALSE)="AB",
                VLOOKUP(AK$2,'TIS Site Config'!$A$3:$AQ$51,25,FALSE)="BC",
                VLOOKUP(AK$2,'TIS Site Config'!$A$3:$AQ$51,25,FALSE)="CD",
                VLOOKUP(AK$2,'TIS Site Config'!$A$3:$AQ$51,25,FALSE)="DA")),
                         1,0),
0),0)</f>
        <v>0</v>
      </c>
      <c r="AL43" s="136">
        <f>IF(VLOOKUP(AL$2,'TIS Site Config'!$A$4:$AQ$51,3,FALSE)&lt;&gt;"Soft",
   IF(VLOOKUP(AL$2,'TIS Site Config'!$A$3:$AQ$51,6,FALSE)&lt;&gt;"Extreme Heated",
   IF(OR(VLOOKUP(AL$2,'TIS Site Config'!$A$3:$AQ$51,24,FALSE)="AB",
                VLOOKUP(AL$2,'TIS Site Config'!$A$3:$AQ$51,24,FALSE)="BC",
                VLOOKUP(AL$2,'TIS Site Config'!$A$3:$AQ$51,24,FALSE)="CD",
                VLOOKUP(AL$2,'TIS Site Config'!$A$3:$AQ$51,24,FALSE)="DA"),
                         1,0)+
  IF(AND(VLOOKUP(AL$2,'TIS Site Config'!$A$3:$AQ$51,22,FALSE)="Split",
                OR(VLOOKUP(AL$2,'TIS Site Config'!$A$3:$AQ$51,25,FALSE)="AB",
                VLOOKUP(AL$2,'TIS Site Config'!$A$3:$AQ$51,25,FALSE)="BC",
                VLOOKUP(AL$2,'TIS Site Config'!$A$3:$AQ$51,25,FALSE)="CD",
                VLOOKUP(AL$2,'TIS Site Config'!$A$3:$AQ$51,25,FALSE)="DA")),
                         1,0),
0),0)</f>
        <v>0</v>
      </c>
      <c r="AM43" s="21">
        <f>IF(VLOOKUP(AM$2,'TIS Site Config'!$A$4:$AQ$51,3,FALSE)&lt;&gt;"Soft",
   IF(VLOOKUP(AM$2,'TIS Site Config'!$A$3:$AQ$51,6,FALSE)&lt;&gt;"Extreme Heated",
   IF(OR(VLOOKUP(AM$2,'TIS Site Config'!$A$3:$AQ$51,24,FALSE)="AB",
                VLOOKUP(AM$2,'TIS Site Config'!$A$3:$AQ$51,24,FALSE)="BC",
                VLOOKUP(AM$2,'TIS Site Config'!$A$3:$AQ$51,24,FALSE)="CD",
                VLOOKUP(AM$2,'TIS Site Config'!$A$3:$AQ$51,24,FALSE)="DA"),
                         1,0)+
  IF(AND(VLOOKUP(AM$2,'TIS Site Config'!$A$3:$AQ$51,22,FALSE)="Split",
                OR(VLOOKUP(AM$2,'TIS Site Config'!$A$3:$AQ$51,25,FALSE)="AB",
                VLOOKUP(AM$2,'TIS Site Config'!$A$3:$AQ$51,25,FALSE)="BC",
                VLOOKUP(AM$2,'TIS Site Config'!$A$3:$AQ$51,25,FALSE)="CD",
                VLOOKUP(AM$2,'TIS Site Config'!$A$3:$AQ$51,25,FALSE)="DA")),
                         1,0),
0),0)</f>
        <v>0</v>
      </c>
      <c r="AN43" s="222">
        <f>IF(VLOOKUP(AN$2,'TIS Site Config'!$A$4:$AQ$51,3,FALSE)&lt;&gt;"Soft",
   IF(VLOOKUP(AN$2,'TIS Site Config'!$A$3:$AQ$51,6,FALSE)&lt;&gt;"Extreme Heated",
   IF(OR(VLOOKUP(AN$2,'TIS Site Config'!$A$3:$AQ$51,24,FALSE)="AB",
                VLOOKUP(AN$2,'TIS Site Config'!$A$3:$AQ$51,24,FALSE)="BC",
                VLOOKUP(AN$2,'TIS Site Config'!$A$3:$AQ$51,24,FALSE)="CD",
                VLOOKUP(AN$2,'TIS Site Config'!$A$3:$AQ$51,24,FALSE)="DA"),
                         1,0)+
  IF(AND(VLOOKUP(AN$2,'TIS Site Config'!$A$3:$AQ$51,22,FALSE)="Split",
                OR(VLOOKUP(AN$2,'TIS Site Config'!$A$3:$AQ$51,25,FALSE)="AB",
                VLOOKUP(AN$2,'TIS Site Config'!$A$3:$AQ$51,25,FALSE)="BC",
                VLOOKUP(AN$2,'TIS Site Config'!$A$3:$AQ$51,25,FALSE)="CD",
                VLOOKUP(AN$2,'TIS Site Config'!$A$3:$AQ$51,25,FALSE)="DA")),
                         1,0),
0),0)</f>
        <v>0</v>
      </c>
      <c r="AO43" s="136">
        <f>IF(VLOOKUP(AO$2,'TIS Site Config'!$A$4:$AQ$51,3,FALSE)&lt;&gt;"Soft",
   IF(VLOOKUP(AO$2,'TIS Site Config'!$A$3:$AQ$51,6,FALSE)&lt;&gt;"Extreme Heated",
   IF(OR(VLOOKUP(AO$2,'TIS Site Config'!$A$3:$AQ$51,24,FALSE)="AB",
                VLOOKUP(AO$2,'TIS Site Config'!$A$3:$AQ$51,24,FALSE)="BC",
                VLOOKUP(AO$2,'TIS Site Config'!$A$3:$AQ$51,24,FALSE)="CD",
                VLOOKUP(AO$2,'TIS Site Config'!$A$3:$AQ$51,24,FALSE)="DA"),
                         1,0)+
  IF(AND(VLOOKUP(AO$2,'TIS Site Config'!$A$3:$AQ$51,22,FALSE)="Split",
                OR(VLOOKUP(AO$2,'TIS Site Config'!$A$3:$AQ$51,25,FALSE)="AB",
                VLOOKUP(AO$2,'TIS Site Config'!$A$3:$AQ$51,25,FALSE)="BC",
                VLOOKUP(AO$2,'TIS Site Config'!$A$3:$AQ$51,25,FALSE)="CD",
                VLOOKUP(AO$2,'TIS Site Config'!$A$3:$AQ$51,25,FALSE)="DA")),
                         1,0),
0),0)</f>
        <v>0</v>
      </c>
      <c r="AP43" s="21">
        <f>IF(VLOOKUP(AP$2,'TIS Site Config'!$A$4:$AQ$51,3,FALSE)&lt;&gt;"Soft",
   IF(VLOOKUP(AP$2,'TIS Site Config'!$A$3:$AQ$51,6,FALSE)&lt;&gt;"Extreme Heated",
   IF(OR(VLOOKUP(AP$2,'TIS Site Config'!$A$3:$AQ$51,24,FALSE)="AB",
                VLOOKUP(AP$2,'TIS Site Config'!$A$3:$AQ$51,24,FALSE)="BC",
                VLOOKUP(AP$2,'TIS Site Config'!$A$3:$AQ$51,24,FALSE)="CD",
                VLOOKUP(AP$2,'TIS Site Config'!$A$3:$AQ$51,24,FALSE)="DA"),
                         1,0)+
  IF(AND(VLOOKUP(AP$2,'TIS Site Config'!$A$3:$AQ$51,22,FALSE)="Split",
                OR(VLOOKUP(AP$2,'TIS Site Config'!$A$3:$AQ$51,25,FALSE)="AB",
                VLOOKUP(AP$2,'TIS Site Config'!$A$3:$AQ$51,25,FALSE)="BC",
                VLOOKUP(AP$2,'TIS Site Config'!$A$3:$AQ$51,25,FALSE)="CD",
                VLOOKUP(AP$2,'TIS Site Config'!$A$3:$AQ$51,25,FALSE)="DA")),
                         1,0),
0),0)</f>
        <v>1</v>
      </c>
      <c r="AQ43" s="136">
        <f>IF(VLOOKUP(AQ$2,'TIS Site Config'!$A$4:$AQ$51,3,FALSE)&lt;&gt;"Soft",
   IF(VLOOKUP(AQ$2,'TIS Site Config'!$A$3:$AQ$51,6,FALSE)&lt;&gt;"Extreme Heated",
   IF(OR(VLOOKUP(AQ$2,'TIS Site Config'!$A$3:$AQ$51,24,FALSE)="AB",
                VLOOKUP(AQ$2,'TIS Site Config'!$A$3:$AQ$51,24,FALSE)="BC",
                VLOOKUP(AQ$2,'TIS Site Config'!$A$3:$AQ$51,24,FALSE)="CD",
                VLOOKUP(AQ$2,'TIS Site Config'!$A$3:$AQ$51,24,FALSE)="DA"),
                         1,0)+
  IF(AND(VLOOKUP(AQ$2,'TIS Site Config'!$A$3:$AQ$51,22,FALSE)="Split",
                OR(VLOOKUP(AQ$2,'TIS Site Config'!$A$3:$AQ$51,25,FALSE)="AB",
                VLOOKUP(AQ$2,'TIS Site Config'!$A$3:$AQ$51,25,FALSE)="BC",
                VLOOKUP(AQ$2,'TIS Site Config'!$A$3:$AQ$51,25,FALSE)="CD",
                VLOOKUP(AQ$2,'TIS Site Config'!$A$3:$AQ$51,25,FALSE)="DA")),
                         1,0),
0),0)</f>
        <v>1</v>
      </c>
      <c r="AR43" s="136">
        <f>IF(VLOOKUP(AR$2,'TIS Site Config'!$A$4:$AQ$51,3,FALSE)&lt;&gt;"Soft",
   IF(VLOOKUP(AR$2,'TIS Site Config'!$A$3:$AQ$51,6,FALSE)&lt;&gt;"Extreme Heated",
   IF(OR(VLOOKUP(AR$2,'TIS Site Config'!$A$3:$AQ$51,24,FALSE)="AB",
                VLOOKUP(AR$2,'TIS Site Config'!$A$3:$AQ$51,24,FALSE)="BC",
                VLOOKUP(AR$2,'TIS Site Config'!$A$3:$AQ$51,24,FALSE)="CD",
                VLOOKUP(AR$2,'TIS Site Config'!$A$3:$AQ$51,24,FALSE)="DA"),
                         1,0)+
  IF(AND(VLOOKUP(AR$2,'TIS Site Config'!$A$3:$AQ$51,22,FALSE)="Split",
                OR(VLOOKUP(AR$2,'TIS Site Config'!$A$3:$AQ$51,25,FALSE)="AB",
                VLOOKUP(AR$2,'TIS Site Config'!$A$3:$AQ$51,25,FALSE)="BC",
                VLOOKUP(AR$2,'TIS Site Config'!$A$3:$AQ$51,25,FALSE)="CD",
                VLOOKUP(AR$2,'TIS Site Config'!$A$3:$AQ$51,25,FALSE)="DA")),
                         1,0),
0),0)</f>
        <v>0</v>
      </c>
      <c r="AS43" s="21">
        <f>IF(VLOOKUP(AS$2,'TIS Site Config'!$A$4:$AQ$51,3,FALSE)&lt;&gt;"Soft",
   IF(VLOOKUP(AS$2,'TIS Site Config'!$A$3:$AQ$51,6,FALSE)&lt;&gt;"Extreme Heated",
   IF(OR(VLOOKUP(AS$2,'TIS Site Config'!$A$3:$AQ$51,24,FALSE)="AB",
                VLOOKUP(AS$2,'TIS Site Config'!$A$3:$AQ$51,24,FALSE)="BC",
                VLOOKUP(AS$2,'TIS Site Config'!$A$3:$AQ$51,24,FALSE)="CD",
                VLOOKUP(AS$2,'TIS Site Config'!$A$3:$AQ$51,24,FALSE)="DA"),
                         1,0)+
  IF(AND(VLOOKUP(AS$2,'TIS Site Config'!$A$3:$AQ$51,22,FALSE)="Split",
                OR(VLOOKUP(AS$2,'TIS Site Config'!$A$3:$AQ$51,25,FALSE)="AB",
                VLOOKUP(AS$2,'TIS Site Config'!$A$3:$AQ$51,25,FALSE)="BC",
                VLOOKUP(AS$2,'TIS Site Config'!$A$3:$AQ$51,25,FALSE)="CD",
                VLOOKUP(AS$2,'TIS Site Config'!$A$3:$AQ$51,25,FALSE)="DA")),
                         1,0),
0),0)</f>
        <v>0</v>
      </c>
      <c r="AT43" s="136">
        <f>IF(VLOOKUP(AT$2,'TIS Site Config'!$A$4:$AQ$51,3,FALSE)&lt;&gt;"Soft",
   IF(VLOOKUP(AT$2,'TIS Site Config'!$A$3:$AQ$51,6,FALSE)&lt;&gt;"Extreme Heated",
   IF(OR(VLOOKUP(AT$2,'TIS Site Config'!$A$3:$AQ$51,24,FALSE)="AB",
                VLOOKUP(AT$2,'TIS Site Config'!$A$3:$AQ$51,24,FALSE)="BC",
                VLOOKUP(AT$2,'TIS Site Config'!$A$3:$AQ$51,24,FALSE)="CD",
                VLOOKUP(AT$2,'TIS Site Config'!$A$3:$AQ$51,24,FALSE)="DA"),
                         1,0)+
  IF(AND(VLOOKUP(AT$2,'TIS Site Config'!$A$3:$AQ$51,22,FALSE)="Split",
                OR(VLOOKUP(AT$2,'TIS Site Config'!$A$3:$AQ$51,25,FALSE)="AB",
                VLOOKUP(AT$2,'TIS Site Config'!$A$3:$AQ$51,25,FALSE)="BC",
                VLOOKUP(AT$2,'TIS Site Config'!$A$3:$AQ$51,25,FALSE)="CD",
                VLOOKUP(AT$2,'TIS Site Config'!$A$3:$AQ$51,25,FALSE)="DA")),
                         1,0),
0),0)</f>
        <v>0</v>
      </c>
      <c r="AU43" s="21">
        <f>IF(VLOOKUP(AU$2,'TIS Site Config'!$A$4:$AQ$51,3,FALSE)&lt;&gt;"Soft",
   IF(VLOOKUP(AU$2,'TIS Site Config'!$A$3:$AQ$51,6,FALSE)&lt;&gt;"Extreme Heated",
   IF(OR(VLOOKUP(AU$2,'TIS Site Config'!$A$3:$AQ$51,24,FALSE)="AB",
                VLOOKUP(AU$2,'TIS Site Config'!$A$3:$AQ$51,24,FALSE)="BC",
                VLOOKUP(AU$2,'TIS Site Config'!$A$3:$AQ$51,24,FALSE)="CD",
                VLOOKUP(AU$2,'TIS Site Config'!$A$3:$AQ$51,24,FALSE)="DA"),
                         1,0)+
  IF(AND(VLOOKUP(AU$2,'TIS Site Config'!$A$3:$AQ$51,22,FALSE)="Split",
                OR(VLOOKUP(AU$2,'TIS Site Config'!$A$3:$AQ$51,25,FALSE)="AB",
                VLOOKUP(AU$2,'TIS Site Config'!$A$3:$AQ$51,25,FALSE)="BC",
                VLOOKUP(AU$2,'TIS Site Config'!$A$3:$AQ$51,25,FALSE)="CD",
                VLOOKUP(AU$2,'TIS Site Config'!$A$3:$AQ$51,25,FALSE)="DA")),
                         1,0),
0),0)</f>
        <v>0</v>
      </c>
      <c r="AV43" s="136">
        <f>IF(VLOOKUP(AV$2,'TIS Site Config'!$A$4:$AQ$51,3,FALSE)&lt;&gt;"Soft",
   IF(VLOOKUP(AV$2,'TIS Site Config'!$A$3:$AQ$51,6,FALSE)&lt;&gt;"Extreme Heated",
   IF(OR(VLOOKUP(AV$2,'TIS Site Config'!$A$3:$AQ$51,24,FALSE)="AB",
                VLOOKUP(AV$2,'TIS Site Config'!$A$3:$AQ$51,24,FALSE)="BC",
                VLOOKUP(AV$2,'TIS Site Config'!$A$3:$AQ$51,24,FALSE)="CD",
                VLOOKUP(AV$2,'TIS Site Config'!$A$3:$AQ$51,24,FALSE)="DA"),
                         1,0)+
  IF(AND(VLOOKUP(AV$2,'TIS Site Config'!$A$3:$AQ$51,22,FALSE)="Split",
                OR(VLOOKUP(AV$2,'TIS Site Config'!$A$3:$AQ$51,25,FALSE)="AB",
                VLOOKUP(AV$2,'TIS Site Config'!$A$3:$AQ$51,25,FALSE)="BC",
                VLOOKUP(AV$2,'TIS Site Config'!$A$3:$AQ$51,25,FALSE)="CD",
                VLOOKUP(AV$2,'TIS Site Config'!$A$3:$AQ$51,25,FALSE)="DA")),
                         1,0),
0),0)</f>
        <v>1</v>
      </c>
      <c r="AW43" s="136">
        <f>IF(VLOOKUP(AW$2,'TIS Site Config'!$A$4:$AQ$51,3,FALSE)&lt;&gt;"Soft",
   IF(VLOOKUP(AW$2,'TIS Site Config'!$A$3:$AQ$51,6,FALSE)&lt;&gt;"Extreme Heated",
   IF(OR(VLOOKUP(AW$2,'TIS Site Config'!$A$3:$AQ$51,24,FALSE)="AB",
                VLOOKUP(AW$2,'TIS Site Config'!$A$3:$AQ$51,24,FALSE)="BC",
                VLOOKUP(AW$2,'TIS Site Config'!$A$3:$AQ$51,24,FALSE)="CD",
                VLOOKUP(AW$2,'TIS Site Config'!$A$3:$AQ$51,24,FALSE)="DA"),
                         1,0)+
  IF(AND(VLOOKUP(AW$2,'TIS Site Config'!$A$3:$AQ$51,22,FALSE)="Split",
                OR(VLOOKUP(AW$2,'TIS Site Config'!$A$3:$AQ$51,25,FALSE)="AB",
                VLOOKUP(AW$2,'TIS Site Config'!$A$3:$AQ$51,25,FALSE)="BC",
                VLOOKUP(AW$2,'TIS Site Config'!$A$3:$AQ$51,25,FALSE)="CD",
                VLOOKUP(AW$2,'TIS Site Config'!$A$3:$AQ$51,25,FALSE)="DA")),
                         1,0),
0),0)</f>
        <v>0</v>
      </c>
      <c r="AX43" s="222">
        <f>IF(VLOOKUP(AX$2,'TIS Site Config'!$A$4:$AQ$51,3,FALSE)&lt;&gt;"Soft",
   IF(VLOOKUP(AX$2,'TIS Site Config'!$A$3:$AQ$51,6,FALSE)&lt;&gt;"Extreme Heated",
   IF(OR(VLOOKUP(AX$2,'TIS Site Config'!$A$3:$AQ$51,24,FALSE)="AB",
                VLOOKUP(AX$2,'TIS Site Config'!$A$3:$AQ$51,24,FALSE)="BC",
                VLOOKUP(AX$2,'TIS Site Config'!$A$3:$AQ$51,24,FALSE)="CD",
                VLOOKUP(AX$2,'TIS Site Config'!$A$3:$AQ$51,24,FALSE)="DA"),
                         1,0)+
  IF(AND(VLOOKUP(AX$2,'TIS Site Config'!$A$3:$AQ$51,22,FALSE)="Split",
                OR(VLOOKUP(AX$2,'TIS Site Config'!$A$3:$AQ$51,25,FALSE)="AB",
                VLOOKUP(AX$2,'TIS Site Config'!$A$3:$AQ$51,25,FALSE)="BC",
                VLOOKUP(AX$2,'TIS Site Config'!$A$3:$AQ$51,25,FALSE)="CD",
                VLOOKUP(AX$2,'TIS Site Config'!$A$3:$AQ$51,25,FALSE)="DA")),
                         1,0),
0),0)</f>
        <v>0</v>
      </c>
      <c r="AY43" s="136">
        <f>IF(VLOOKUP(AY$2,'TIS Site Config'!$A$4:$AQ$51,3,FALSE)&lt;&gt;"Soft",
   IF(VLOOKUP(AY$2,'TIS Site Config'!$A$3:$AQ$51,6,FALSE)&lt;&gt;"Extreme Heated",
   IF(OR(VLOOKUP(AY$2,'TIS Site Config'!$A$3:$AQ$51,24,FALSE)="AB",
                VLOOKUP(AY$2,'TIS Site Config'!$A$3:$AQ$51,24,FALSE)="BC",
                VLOOKUP(AY$2,'TIS Site Config'!$A$3:$AQ$51,24,FALSE)="CD",
                VLOOKUP(AY$2,'TIS Site Config'!$A$3:$AQ$51,24,FALSE)="DA"),
                         1,0)+
  IF(AND(VLOOKUP(AY$2,'TIS Site Config'!$A$3:$AQ$51,22,FALSE)="Split",
                OR(VLOOKUP(AY$2,'TIS Site Config'!$A$3:$AQ$51,25,FALSE)="AB",
                VLOOKUP(AY$2,'TIS Site Config'!$A$3:$AQ$51,25,FALSE)="BC",
                VLOOKUP(AY$2,'TIS Site Config'!$A$3:$AQ$51,25,FALSE)="CD",
                VLOOKUP(AY$2,'TIS Site Config'!$A$3:$AQ$51,25,FALSE)="DA")),
                         1,0),
0),0)</f>
        <v>1</v>
      </c>
      <c r="AZ43" s="21">
        <f>IF(VLOOKUP(AZ$2,'TIS Site Config'!$A$4:$AQ$51,3,FALSE)&lt;&gt;"Soft",
   IF(VLOOKUP(AZ$2,'TIS Site Config'!$A$3:$AQ$51,6,FALSE)&lt;&gt;"Extreme Heated",
   IF(OR(VLOOKUP(AZ$2,'TIS Site Config'!$A$3:$AQ$51,24,FALSE)="AB",
                VLOOKUP(AZ$2,'TIS Site Config'!$A$3:$AQ$51,24,FALSE)="BC",
                VLOOKUP(AZ$2,'TIS Site Config'!$A$3:$AQ$51,24,FALSE)="CD",
                VLOOKUP(AZ$2,'TIS Site Config'!$A$3:$AQ$51,24,FALSE)="DA"),
                         1,0)+
  IF(AND(VLOOKUP(AZ$2,'TIS Site Config'!$A$3:$AQ$51,22,FALSE)="Split",
                OR(VLOOKUP(AZ$2,'TIS Site Config'!$A$3:$AQ$51,25,FALSE)="AB",
                VLOOKUP(AZ$2,'TIS Site Config'!$A$3:$AQ$51,25,FALSE)="BC",
                VLOOKUP(AZ$2,'TIS Site Config'!$A$3:$AQ$51,25,FALSE)="CD",
                VLOOKUP(AZ$2,'TIS Site Config'!$A$3:$AQ$51,25,FALSE)="DA")),
                         1,0),
0),0)</f>
        <v>1</v>
      </c>
      <c r="BA43" s="223">
        <f>IF(VLOOKUP(BA$2,'TIS Site Config'!$A$4:$AQ$51,3,FALSE)&lt;&gt;"Soft",
   IF(VLOOKUP(BA$2,'TIS Site Config'!$A$3:$AQ$51,6,FALSE)&lt;&gt;"Extreme Heated",
   IF(OR(VLOOKUP(BA$2,'TIS Site Config'!$A$3:$AQ$51,24,FALSE)="AB",
                VLOOKUP(BA$2,'TIS Site Config'!$A$3:$AQ$51,24,FALSE)="BC",
                VLOOKUP(BA$2,'TIS Site Config'!$A$3:$AQ$51,24,FALSE)="CD",
                VLOOKUP(BA$2,'TIS Site Config'!$A$3:$AQ$51,24,FALSE)="DA"),
                         1,0)+
  IF(AND(VLOOKUP(BA$2,'TIS Site Config'!$A$3:$AQ$51,22,FALSE)="Split",
                OR(VLOOKUP(BA$2,'TIS Site Config'!$A$3:$AQ$51,25,FALSE)="AB",
                VLOOKUP(BA$2,'TIS Site Config'!$A$3:$AQ$51,25,FALSE)="BC",
                VLOOKUP(BA$2,'TIS Site Config'!$A$3:$AQ$51,25,FALSE)="CD",
                VLOOKUP(BA$2,'TIS Site Config'!$A$3:$AQ$51,25,FALSE)="DA")),
                         1,0),
0),0)</f>
        <v>0</v>
      </c>
      <c r="BB43" s="136">
        <f>IF(VLOOKUP(BB$2,'TIS Site Config'!$A$4:$AQ$51,3,FALSE)&lt;&gt;"Soft",
   IF(VLOOKUP(BB$2,'TIS Site Config'!$A$3:$AQ$51,6,FALSE)&lt;&gt;"Extreme Heated",
   IF(OR(VLOOKUP(BB$2,'TIS Site Config'!$A$3:$AQ$51,24,FALSE)="AB",
                VLOOKUP(BB$2,'TIS Site Config'!$A$3:$AQ$51,24,FALSE)="BC",
                VLOOKUP(BB$2,'TIS Site Config'!$A$3:$AQ$51,24,FALSE)="CD",
                VLOOKUP(BB$2,'TIS Site Config'!$A$3:$AQ$51,24,FALSE)="DA"),
                         1,0)+
  IF(AND(VLOOKUP(BB$2,'TIS Site Config'!$A$3:$AQ$51,22,FALSE)="Split",
                OR(VLOOKUP(BB$2,'TIS Site Config'!$A$3:$AQ$51,25,FALSE)="AB",
                VLOOKUP(BB$2,'TIS Site Config'!$A$3:$AQ$51,25,FALSE)="BC",
                VLOOKUP(BB$2,'TIS Site Config'!$A$3:$AQ$51,25,FALSE)="CD",
                VLOOKUP(BB$2,'TIS Site Config'!$A$3:$AQ$51,25,FALSE)="DA")),
                         1,0),
0),0)</f>
        <v>0</v>
      </c>
      <c r="BC43" s="222">
        <f>IF(VLOOKUP(BC$2,'TIS Site Config'!$A$4:$AQ$51,3,FALSE)&lt;&gt;"Soft",
   IF(VLOOKUP(BC$2,'TIS Site Config'!$A$3:$AQ$51,6,FALSE)&lt;&gt;"Extreme Heated",
   IF(OR(VLOOKUP(BC$2,'TIS Site Config'!$A$3:$AQ$51,24,FALSE)="AB",
                VLOOKUP(BC$2,'TIS Site Config'!$A$3:$AQ$51,24,FALSE)="BC",
                VLOOKUP(BC$2,'TIS Site Config'!$A$3:$AQ$51,24,FALSE)="CD",
                VLOOKUP(BC$2,'TIS Site Config'!$A$3:$AQ$51,24,FALSE)="DA"),
                         1,0)+
  IF(AND(VLOOKUP(BC$2,'TIS Site Config'!$A$3:$AQ$51,22,FALSE)="Split",
                OR(VLOOKUP(BC$2,'TIS Site Config'!$A$3:$AQ$51,25,FALSE)="AB",
                VLOOKUP(BC$2,'TIS Site Config'!$A$3:$AQ$51,25,FALSE)="BC",
                VLOOKUP(BC$2,'TIS Site Config'!$A$3:$AQ$51,25,FALSE)="CD",
                VLOOKUP(BC$2,'TIS Site Config'!$A$3:$AQ$51,25,FALSE)="DA")),
                         1,0),
0),0)</f>
        <v>0</v>
      </c>
      <c r="BD43" s="136">
        <f>IF(VLOOKUP(BD$2,'TIS Site Config'!$A$4:$AQ$51,3,FALSE)&lt;&gt;"Soft",
   IF(VLOOKUP(BD$2,'TIS Site Config'!$A$3:$AQ$51,6,FALSE)&lt;&gt;"Extreme Heated",
   IF(OR(VLOOKUP(BD$2,'TIS Site Config'!$A$3:$AQ$51,24,FALSE)="AB",
                VLOOKUP(BD$2,'TIS Site Config'!$A$3:$AQ$51,24,FALSE)="BC",
                VLOOKUP(BD$2,'TIS Site Config'!$A$3:$AQ$51,24,FALSE)="CD",
                VLOOKUP(BD$2,'TIS Site Config'!$A$3:$AQ$51,24,FALSE)="DA"),
                         1,0)+
  IF(AND(VLOOKUP(BD$2,'TIS Site Config'!$A$3:$AQ$51,22,FALSE)="Split",
                OR(VLOOKUP(BD$2,'TIS Site Config'!$A$3:$AQ$51,25,FALSE)="AB",
                VLOOKUP(BD$2,'TIS Site Config'!$A$3:$AQ$51,25,FALSE)="BC",
                VLOOKUP(BD$2,'TIS Site Config'!$A$3:$AQ$51,25,FALSE)="CD",
                VLOOKUP(BD$2,'TIS Site Config'!$A$3:$AQ$51,25,FALSE)="DA")),
                         1,0),
0),0)</f>
        <v>0</v>
      </c>
      <c r="BE43" s="21">
        <f>IF(VLOOKUP(BE$2,'TIS Site Config'!$A$4:$AQ$51,3,FALSE)&lt;&gt;"Soft",
   IF(VLOOKUP(BE$2,'TIS Site Config'!$A$3:$AQ$51,6,FALSE)&lt;&gt;"Extreme Heated",
   IF(OR(VLOOKUP(BE$2,'TIS Site Config'!$A$3:$AQ$51,24,FALSE)="AB",
                VLOOKUP(BE$2,'TIS Site Config'!$A$3:$AQ$51,24,FALSE)="BC",
                VLOOKUP(BE$2,'TIS Site Config'!$A$3:$AQ$51,24,FALSE)="CD",
                VLOOKUP(BE$2,'TIS Site Config'!$A$3:$AQ$51,24,FALSE)="DA"),
                         1,0)+
  IF(AND(VLOOKUP(BE$2,'TIS Site Config'!$A$3:$AQ$51,22,FALSE)="Split",
                OR(VLOOKUP(BE$2,'TIS Site Config'!$A$3:$AQ$51,25,FALSE)="AB",
                VLOOKUP(BE$2,'TIS Site Config'!$A$3:$AQ$51,25,FALSE)="BC",
                VLOOKUP(BE$2,'TIS Site Config'!$A$3:$AQ$51,25,FALSE)="CD",
                VLOOKUP(BE$2,'TIS Site Config'!$A$3:$AQ$51,25,FALSE)="DA")),
                         1,0),
0),0)</f>
        <v>0</v>
      </c>
      <c r="BF43" s="222">
        <f>IF(VLOOKUP(BF$2,'TIS Site Config'!$A$4:$AQ$51,3,FALSE)&lt;&gt;"Soft",
   IF(VLOOKUP(BF$2,'TIS Site Config'!$A$3:$AQ$51,6,FALSE)&lt;&gt;"Extreme Heated",
   IF(OR(VLOOKUP(BF$2,'TIS Site Config'!$A$3:$AQ$51,24,FALSE)="AB",
                VLOOKUP(BF$2,'TIS Site Config'!$A$3:$AQ$51,24,FALSE)="BC",
                VLOOKUP(BF$2,'TIS Site Config'!$A$3:$AQ$51,24,FALSE)="CD",
                VLOOKUP(BF$2,'TIS Site Config'!$A$3:$AQ$51,24,FALSE)="DA"),
                         1,0)+
  IF(AND(VLOOKUP(BF$2,'TIS Site Config'!$A$3:$AQ$51,22,FALSE)="Split",
                OR(VLOOKUP(BF$2,'TIS Site Config'!$A$3:$AQ$51,25,FALSE)="AB",
                VLOOKUP(BF$2,'TIS Site Config'!$A$3:$AQ$51,25,FALSE)="BC",
                VLOOKUP(BF$2,'TIS Site Config'!$A$3:$AQ$51,25,FALSE)="CD",
                VLOOKUP(BF$2,'TIS Site Config'!$A$3:$AQ$51,25,FALSE)="DA")),
                         1,0),
0),0)</f>
        <v>0</v>
      </c>
      <c r="BG43" s="62">
        <f>IF(VLOOKUP(BG$2,'TIS Site Config'!$A$4:$AQ$51,3,FALSE)&lt;&gt;"Soft",
   IF(VLOOKUP(BG$2,'TIS Site Config'!$A$3:$AQ$51,6,FALSE)&lt;&gt;"Extreme Heated",
   IF(OR(VLOOKUP(BG$2,'TIS Site Config'!$A$3:$AQ$51,24,FALSE)="AB",
                VLOOKUP(BG$2,'TIS Site Config'!$A$3:$AQ$51,24,FALSE)="BC",
                VLOOKUP(BG$2,'TIS Site Config'!$A$3:$AQ$51,24,FALSE)="CD",
                VLOOKUP(BG$2,'TIS Site Config'!$A$3:$AQ$51,24,FALSE)="DA"),
                         1,0)+
  IF(AND(VLOOKUP(BG$2,'TIS Site Config'!$A$3:$AQ$51,22,FALSE)="Split",
                OR(VLOOKUP(BG$2,'TIS Site Config'!$A$3:$AQ$51,25,FALSE)="AB",
                VLOOKUP(BG$2,'TIS Site Config'!$A$3:$AQ$51,25,FALSE)="BC",
                VLOOKUP(BG$2,'TIS Site Config'!$A$3:$AQ$51,25,FALSE)="CD",
                VLOOKUP(BG$2,'TIS Site Config'!$A$3:$AQ$51,25,FALSE)="DA")),
                         1,0),
0),0)</f>
        <v>0</v>
      </c>
      <c r="BH43" s="62">
        <f>IF(VLOOKUP(BH$2,'TIS Site Config'!$A$4:$AQ$51,3,FALSE)&lt;&gt;"Soft",
   IF(VLOOKUP(BH$2,'TIS Site Config'!$A$3:$AQ$51,6,FALSE)&lt;&gt;"Extreme Heated",
   IF(OR(VLOOKUP(BH$2,'TIS Site Config'!$A$3:$AQ$51,24,FALSE)="AB",
                VLOOKUP(BH$2,'TIS Site Config'!$A$3:$AQ$51,24,FALSE)="BC",
                VLOOKUP(BH$2,'TIS Site Config'!$A$3:$AQ$51,24,FALSE)="CD",
                VLOOKUP(BH$2,'TIS Site Config'!$A$3:$AQ$51,24,FALSE)="DA"),
                         1,0)+
  IF(AND(VLOOKUP(BH$2,'TIS Site Config'!$A$3:$AQ$51,22,FALSE)="Split",
                OR(VLOOKUP(BH$2,'TIS Site Config'!$A$3:$AQ$51,25,FALSE)="AB",
                VLOOKUP(BH$2,'TIS Site Config'!$A$3:$AQ$51,25,FALSE)="BC",
                VLOOKUP(BH$2,'TIS Site Config'!$A$3:$AQ$51,25,FALSE)="CD",
                VLOOKUP(BH$2,'TIS Site Config'!$A$3:$AQ$51,25,FALSE)="DA")),
                         1,0),
0),0)</f>
        <v>1</v>
      </c>
      <c r="BK43" s="3">
        <v>23</v>
      </c>
      <c r="BL43" s="950" t="b">
        <f t="shared" si="3"/>
        <v>0</v>
      </c>
      <c r="BO43" s="950"/>
    </row>
    <row r="44" spans="1:67" s="44" customFormat="1" x14ac:dyDescent="0.25">
      <c r="A44" s="1378"/>
      <c r="B44" s="1261"/>
      <c r="C44" s="59" t="s">
        <v>495</v>
      </c>
      <c r="D44" s="60">
        <v>4</v>
      </c>
      <c r="E44" s="84" t="s">
        <v>529</v>
      </c>
      <c r="F44" s="60">
        <f t="shared" si="1"/>
        <v>6</v>
      </c>
      <c r="G44" s="459"/>
      <c r="H44" s="460"/>
      <c r="I44" s="460"/>
      <c r="J44" s="460"/>
      <c r="K44" s="461"/>
      <c r="L44" s="494"/>
      <c r="M44" s="134">
        <f>IF(VLOOKUP(M$2,'TIS Site Config'!$A$4:$AQ$51,3,FALSE)&lt;&gt;"Soft",
   IF(VLOOKUP(M$2,'TIS Site Config'!$A$3:$AQ$51,6,FALSE)="Extreme Heated",
   IF(OR(VLOOKUP(M$2,'TIS Site Config'!$A$3:$AQ$51,24,FALSE)="BA",
                VLOOKUP(M$2,'TIS Site Config'!$A$3:$AQ$51,24,FALSE)="AD",
                VLOOKUP(M$2,'TIS Site Config'!$A$3:$AQ$51,24,FALSE)="DC",
                VLOOKUP(M$2,'TIS Site Config'!$A$3:$AQ$51,24,FALSE)="CB"),
                         1,0)+
  IF(AND(VLOOKUP(M$2,'TIS Site Config'!$A$3:$AQ$51,22,FALSE)="Split",
                OR(VLOOKUP(M$2,'TIS Site Config'!$A$3:$AQ$51,25,FALSE)="BA",
                VLOOKUP(M$2,'TIS Site Config'!$A$3:$AQ$51,25,FALSE)="AD",
                VLOOKUP(M$2,'TIS Site Config'!$A$3:$AQ$51,25,FALSE)="DC",
                VLOOKUP(M$2,'TIS Site Config'!$A$3:$AQ$51,25,FALSE)="CB")),
                         1,0),0),0)</f>
        <v>0</v>
      </c>
      <c r="N44" s="212">
        <f>IF(VLOOKUP(N$2,'TIS Site Config'!$A$4:$AQ$51,3,FALSE)&lt;&gt;"Soft",
   IF(VLOOKUP(N$2,'TIS Site Config'!$A$3:$AQ$51,6,FALSE)="Extreme Heated",
   IF(OR(VLOOKUP(N$2,'TIS Site Config'!$A$3:$AQ$51,24,FALSE)="BA",
                VLOOKUP(N$2,'TIS Site Config'!$A$3:$AQ$51,24,FALSE)="AD",
                VLOOKUP(N$2,'TIS Site Config'!$A$3:$AQ$51,24,FALSE)="DC",
                VLOOKUP(N$2,'TIS Site Config'!$A$3:$AQ$51,24,FALSE)="CB"),
                         1,0)+
  IF(AND(VLOOKUP(N$2,'TIS Site Config'!$A$3:$AQ$51,22,FALSE)="Split",
                OR(VLOOKUP(N$2,'TIS Site Config'!$A$3:$AQ$51,25,FALSE)="BA",
                VLOOKUP(N$2,'TIS Site Config'!$A$3:$AQ$51,25,FALSE)="AD",
                VLOOKUP(N$2,'TIS Site Config'!$A$3:$AQ$51,25,FALSE)="DC",
                VLOOKUP(N$2,'TIS Site Config'!$A$3:$AQ$51,25,FALSE)="CB")),
                         1,0),0),0)</f>
        <v>0</v>
      </c>
      <c r="O44" s="215">
        <f>IF(VLOOKUP(O$2,'TIS Site Config'!$A$4:$AQ$51,3,FALSE)&lt;&gt;"Soft",
   IF(VLOOKUP(O$2,'TIS Site Config'!$A$3:$AQ$51,6,FALSE)="Extreme Heated",
   IF(OR(VLOOKUP(O$2,'TIS Site Config'!$A$3:$AQ$51,24,FALSE)="BA",
                VLOOKUP(O$2,'TIS Site Config'!$A$3:$AQ$51,24,FALSE)="AD",
                VLOOKUP(O$2,'TIS Site Config'!$A$3:$AQ$51,24,FALSE)="DC",
                VLOOKUP(O$2,'TIS Site Config'!$A$3:$AQ$51,24,FALSE)="CB"),
                         1,0)+
  IF(AND(VLOOKUP(O$2,'TIS Site Config'!$A$3:$AQ$51,22,FALSE)="Split",
                OR(VLOOKUP(O$2,'TIS Site Config'!$A$3:$AQ$51,25,FALSE)="BA",
                VLOOKUP(O$2,'TIS Site Config'!$A$3:$AQ$51,25,FALSE)="AD",
                VLOOKUP(O$2,'TIS Site Config'!$A$3:$AQ$51,25,FALSE)="DC",
                VLOOKUP(O$2,'TIS Site Config'!$A$3:$AQ$51,25,FALSE)="CB")),
                         1,0),0),0)</f>
        <v>0</v>
      </c>
      <c r="P44" s="309">
        <f>IF(VLOOKUP(P$2,'TIS Site Config'!$A$4:$AQ$51,3,FALSE)&lt;&gt;"Soft",
   IF(VLOOKUP(P$2,'TIS Site Config'!$A$3:$AQ$51,6,FALSE)="Extreme Heated",
   IF(OR(VLOOKUP(P$2,'TIS Site Config'!$A$3:$AQ$51,24,FALSE)="BA",
                VLOOKUP(P$2,'TIS Site Config'!$A$3:$AQ$51,24,FALSE)="AD",
                VLOOKUP(P$2,'TIS Site Config'!$A$3:$AQ$51,24,FALSE)="DC",
                VLOOKUP(P$2,'TIS Site Config'!$A$3:$AQ$51,24,FALSE)="CB"),
                         1,0)+
  IF(AND(VLOOKUP(P$2,'TIS Site Config'!$A$3:$AQ$51,22,FALSE)="Split",
                OR(VLOOKUP(P$2,'TIS Site Config'!$A$3:$AQ$51,25,FALSE)="BA",
                VLOOKUP(P$2,'TIS Site Config'!$A$3:$AQ$51,25,FALSE)="AD",
                VLOOKUP(P$2,'TIS Site Config'!$A$3:$AQ$51,25,FALSE)="DC",
                VLOOKUP(P$2,'TIS Site Config'!$A$3:$AQ$51,25,FALSE)="CB")),
                         1,0),0),0)</f>
        <v>0</v>
      </c>
      <c r="Q44" s="212">
        <f>IF(VLOOKUP(Q$2,'TIS Site Config'!$A$4:$AQ$51,3,FALSE)&lt;&gt;"Soft",
   IF(VLOOKUP(Q$2,'TIS Site Config'!$A$3:$AQ$51,6,FALSE)="Extreme Heated",
   IF(OR(VLOOKUP(Q$2,'TIS Site Config'!$A$3:$AQ$51,24,FALSE)="BA",
                VLOOKUP(Q$2,'TIS Site Config'!$A$3:$AQ$51,24,FALSE)="AD",
                VLOOKUP(Q$2,'TIS Site Config'!$A$3:$AQ$51,24,FALSE)="DC",
                VLOOKUP(Q$2,'TIS Site Config'!$A$3:$AQ$51,24,FALSE)="CB"),
                         1,0)+
  IF(AND(VLOOKUP(Q$2,'TIS Site Config'!$A$3:$AQ$51,22,FALSE)="Split",
                OR(VLOOKUP(Q$2,'TIS Site Config'!$A$3:$AQ$51,25,FALSE)="BA",
                VLOOKUP(Q$2,'TIS Site Config'!$A$3:$AQ$51,25,FALSE)="AD",
                VLOOKUP(Q$2,'TIS Site Config'!$A$3:$AQ$51,25,FALSE)="DC",
                VLOOKUP(Q$2,'TIS Site Config'!$A$3:$AQ$51,25,FALSE)="CB")),
                         1,0),0),0)</f>
        <v>0</v>
      </c>
      <c r="R44" s="134">
        <f>IF(VLOOKUP(R$2,'TIS Site Config'!$A$4:$AQ$51,3,FALSE)&lt;&gt;"Soft",
   IF(VLOOKUP(R$2,'TIS Site Config'!$A$3:$AQ$51,6,FALSE)="Extreme Heated",
   IF(OR(VLOOKUP(R$2,'TIS Site Config'!$A$3:$AQ$51,24,FALSE)="BA",
                VLOOKUP(R$2,'TIS Site Config'!$A$3:$AQ$51,24,FALSE)="AD",
                VLOOKUP(R$2,'TIS Site Config'!$A$3:$AQ$51,24,FALSE)="DC",
                VLOOKUP(R$2,'TIS Site Config'!$A$3:$AQ$51,24,FALSE)="CB"),
                         1,0)+
  IF(AND(VLOOKUP(R$2,'TIS Site Config'!$A$3:$AQ$51,22,FALSE)="Split",
                OR(VLOOKUP(R$2,'TIS Site Config'!$A$3:$AQ$51,25,FALSE)="BA",
                VLOOKUP(R$2,'TIS Site Config'!$A$3:$AQ$51,25,FALSE)="AD",
                VLOOKUP(R$2,'TIS Site Config'!$A$3:$AQ$51,25,FALSE)="DC",
                VLOOKUP(R$2,'TIS Site Config'!$A$3:$AQ$51,25,FALSE)="CB")),
                         1,0),0),0)</f>
        <v>0</v>
      </c>
      <c r="S44" s="309">
        <f>IF(VLOOKUP(S$2,'TIS Site Config'!$A$4:$AQ$51,3,FALSE)&lt;&gt;"Soft",
   IF(VLOOKUP(S$2,'TIS Site Config'!$A$3:$AQ$51,6,FALSE)="Extreme Heated",
   IF(OR(VLOOKUP(S$2,'TIS Site Config'!$A$3:$AQ$51,24,FALSE)="BA",
                VLOOKUP(S$2,'TIS Site Config'!$A$3:$AQ$51,24,FALSE)="AD",
                VLOOKUP(S$2,'TIS Site Config'!$A$3:$AQ$51,24,FALSE)="DC",
                VLOOKUP(S$2,'TIS Site Config'!$A$3:$AQ$51,24,FALSE)="CB"),
                         1,0)+
  IF(AND(VLOOKUP(S$2,'TIS Site Config'!$A$3:$AQ$51,22,FALSE)="Split",
                OR(VLOOKUP(S$2,'TIS Site Config'!$A$3:$AQ$51,25,FALSE)="BA",
                VLOOKUP(S$2,'TIS Site Config'!$A$3:$AQ$51,25,FALSE)="AD",
                VLOOKUP(S$2,'TIS Site Config'!$A$3:$AQ$51,25,FALSE)="DC",
                VLOOKUP(S$2,'TIS Site Config'!$A$3:$AQ$51,25,FALSE)="CB")),
                         1,0),0),0)</f>
        <v>0</v>
      </c>
      <c r="T44" s="212">
        <f>IF(VLOOKUP(T$2,'TIS Site Config'!$A$4:$AQ$51,3,FALSE)&lt;&gt;"Soft",
   IF(VLOOKUP(T$2,'TIS Site Config'!$A$3:$AQ$51,6,FALSE)="Extreme Heated",
   IF(OR(VLOOKUP(T$2,'TIS Site Config'!$A$3:$AQ$51,24,FALSE)="BA",
                VLOOKUP(T$2,'TIS Site Config'!$A$3:$AQ$51,24,FALSE)="AD",
                VLOOKUP(T$2,'TIS Site Config'!$A$3:$AQ$51,24,FALSE)="DC",
                VLOOKUP(T$2,'TIS Site Config'!$A$3:$AQ$51,24,FALSE)="CB"),
                         1,0)+
  IF(AND(VLOOKUP(T$2,'TIS Site Config'!$A$3:$AQ$51,22,FALSE)="Split",
                OR(VLOOKUP(T$2,'TIS Site Config'!$A$3:$AQ$51,25,FALSE)="BA",
                VLOOKUP(T$2,'TIS Site Config'!$A$3:$AQ$51,25,FALSE)="AD",
                VLOOKUP(T$2,'TIS Site Config'!$A$3:$AQ$51,25,FALSE)="DC",
                VLOOKUP(T$2,'TIS Site Config'!$A$3:$AQ$51,25,FALSE)="CB")),
                         1,0),0),0)</f>
        <v>0</v>
      </c>
      <c r="U44" s="134">
        <f>IF(VLOOKUP(U$2,'TIS Site Config'!$A$4:$AQ$51,3,FALSE)&lt;&gt;"Soft",
   IF(VLOOKUP(U$2,'TIS Site Config'!$A$3:$AQ$51,6,FALSE)="Extreme Heated",
   IF(OR(VLOOKUP(U$2,'TIS Site Config'!$A$3:$AQ$51,24,FALSE)="BA",
                VLOOKUP(U$2,'TIS Site Config'!$A$3:$AQ$51,24,FALSE)="AD",
                VLOOKUP(U$2,'TIS Site Config'!$A$3:$AQ$51,24,FALSE)="DC",
                VLOOKUP(U$2,'TIS Site Config'!$A$3:$AQ$51,24,FALSE)="CB"),
                         1,0)+
  IF(AND(VLOOKUP(U$2,'TIS Site Config'!$A$3:$AQ$51,22,FALSE)="Split",
                OR(VLOOKUP(U$2,'TIS Site Config'!$A$3:$AQ$51,25,FALSE)="BA",
                VLOOKUP(U$2,'TIS Site Config'!$A$3:$AQ$51,25,FALSE)="AD",
                VLOOKUP(U$2,'TIS Site Config'!$A$3:$AQ$51,25,FALSE)="DC",
                VLOOKUP(U$2,'TIS Site Config'!$A$3:$AQ$51,25,FALSE)="CB")),
                         1,0),0),0)</f>
        <v>0</v>
      </c>
      <c r="V44" s="212">
        <f>IF(VLOOKUP(V$2,'TIS Site Config'!$A$4:$AQ$51,3,FALSE)&lt;&gt;"Soft",
   IF(VLOOKUP(V$2,'TIS Site Config'!$A$3:$AQ$51,6,FALSE)="Extreme Heated",
   IF(OR(VLOOKUP(V$2,'TIS Site Config'!$A$3:$AQ$51,24,FALSE)="BA",
                VLOOKUP(V$2,'TIS Site Config'!$A$3:$AQ$51,24,FALSE)="AD",
                VLOOKUP(V$2,'TIS Site Config'!$A$3:$AQ$51,24,FALSE)="DC",
                VLOOKUP(V$2,'TIS Site Config'!$A$3:$AQ$51,24,FALSE)="CB"),
                         1,0)+
  IF(AND(VLOOKUP(V$2,'TIS Site Config'!$A$3:$AQ$51,22,FALSE)="Split",
                OR(VLOOKUP(V$2,'TIS Site Config'!$A$3:$AQ$51,25,FALSE)="BA",
                VLOOKUP(V$2,'TIS Site Config'!$A$3:$AQ$51,25,FALSE)="AD",
                VLOOKUP(V$2,'TIS Site Config'!$A$3:$AQ$51,25,FALSE)="DC",
                VLOOKUP(V$2,'TIS Site Config'!$A$3:$AQ$51,25,FALSE)="CB")),
                         1,0),0),0)</f>
        <v>0</v>
      </c>
      <c r="W44" s="214">
        <f>IF(VLOOKUP(W$2,'TIS Site Config'!$A$4:$AQ$51,3,FALSE)&lt;&gt;"Soft",
   IF(VLOOKUP(W$2,'TIS Site Config'!$A$3:$AQ$51,6,FALSE)="Extreme Heated",
   IF(OR(VLOOKUP(W$2,'TIS Site Config'!$A$3:$AQ$51,24,FALSE)="BA",
                VLOOKUP(W$2,'TIS Site Config'!$A$3:$AQ$51,24,FALSE)="AD",
                VLOOKUP(W$2,'TIS Site Config'!$A$3:$AQ$51,24,FALSE)="DC",
                VLOOKUP(W$2,'TIS Site Config'!$A$3:$AQ$51,24,FALSE)="CB"),
                         1,0)+
  IF(AND(VLOOKUP(W$2,'TIS Site Config'!$A$3:$AQ$51,22,FALSE)="Split",
                OR(VLOOKUP(W$2,'TIS Site Config'!$A$3:$AQ$51,25,FALSE)="BA",
                VLOOKUP(W$2,'TIS Site Config'!$A$3:$AQ$51,25,FALSE)="AD",
                VLOOKUP(W$2,'TIS Site Config'!$A$3:$AQ$51,25,FALSE)="DC",
                VLOOKUP(W$2,'TIS Site Config'!$A$3:$AQ$51,25,FALSE)="CB")),
                         1,0),0),0)</f>
        <v>0</v>
      </c>
      <c r="X44" s="309">
        <f>IF(VLOOKUP(X$2,'TIS Site Config'!$A$4:$AQ$51,3,FALSE)&lt;&gt;"Soft",
   IF(VLOOKUP(X$2,'TIS Site Config'!$A$3:$AQ$51,6,FALSE)="Extreme Heated",
   IF(OR(VLOOKUP(X$2,'TIS Site Config'!$A$3:$AQ$51,24,FALSE)="BA",
                VLOOKUP(X$2,'TIS Site Config'!$A$3:$AQ$51,24,FALSE)="AD",
                VLOOKUP(X$2,'TIS Site Config'!$A$3:$AQ$51,24,FALSE)="DC",
                VLOOKUP(X$2,'TIS Site Config'!$A$3:$AQ$51,24,FALSE)="CB"),
                         1,0)+
  IF(AND(VLOOKUP(X$2,'TIS Site Config'!$A$3:$AQ$51,22,FALSE)="Split",
                OR(VLOOKUP(X$2,'TIS Site Config'!$A$3:$AQ$51,25,FALSE)="BA",
                VLOOKUP(X$2,'TIS Site Config'!$A$3:$AQ$51,25,FALSE)="AD",
                VLOOKUP(X$2,'TIS Site Config'!$A$3:$AQ$51,25,FALSE)="DC",
                VLOOKUP(X$2,'TIS Site Config'!$A$3:$AQ$51,25,FALSE)="CB")),
                         1,0),0),0)</f>
        <v>0</v>
      </c>
      <c r="Y44" s="212">
        <f>IF(VLOOKUP(Y$2,'TIS Site Config'!$A$4:$AQ$51,3,FALSE)&lt;&gt;"Soft",
   IF(VLOOKUP(Y$2,'TIS Site Config'!$A$3:$AQ$51,6,FALSE)="Extreme Heated",
   IF(OR(VLOOKUP(Y$2,'TIS Site Config'!$A$3:$AQ$51,24,FALSE)="BA",
                VLOOKUP(Y$2,'TIS Site Config'!$A$3:$AQ$51,24,FALSE)="AD",
                VLOOKUP(Y$2,'TIS Site Config'!$A$3:$AQ$51,24,FALSE)="DC",
                VLOOKUP(Y$2,'TIS Site Config'!$A$3:$AQ$51,24,FALSE)="CB"),
                         1,0)+
  IF(AND(VLOOKUP(Y$2,'TIS Site Config'!$A$3:$AQ$51,22,FALSE)="Split",
                OR(VLOOKUP(Y$2,'TIS Site Config'!$A$3:$AQ$51,25,FALSE)="BA",
                VLOOKUP(Y$2,'TIS Site Config'!$A$3:$AQ$51,25,FALSE)="AD",
                VLOOKUP(Y$2,'TIS Site Config'!$A$3:$AQ$51,25,FALSE)="DC",
                VLOOKUP(Y$2,'TIS Site Config'!$A$3:$AQ$51,25,FALSE)="CB")),
                         1,0),0),0)</f>
        <v>0</v>
      </c>
      <c r="Z44" s="134">
        <f>IF(VLOOKUP(Z$2,'TIS Site Config'!$A$4:$AQ$51,3,FALSE)&lt;&gt;"Soft",
   IF(VLOOKUP(Z$2,'TIS Site Config'!$A$3:$AQ$51,6,FALSE)="Extreme Heated",
   IF(OR(VLOOKUP(Z$2,'TIS Site Config'!$A$3:$AQ$51,24,FALSE)="BA",
                VLOOKUP(Z$2,'TIS Site Config'!$A$3:$AQ$51,24,FALSE)="AD",
                VLOOKUP(Z$2,'TIS Site Config'!$A$3:$AQ$51,24,FALSE)="DC",
                VLOOKUP(Z$2,'TIS Site Config'!$A$3:$AQ$51,24,FALSE)="CB"),
                         1,0)+
  IF(AND(VLOOKUP(Z$2,'TIS Site Config'!$A$3:$AQ$51,22,FALSE)="Split",
                OR(VLOOKUP(Z$2,'TIS Site Config'!$A$3:$AQ$51,25,FALSE)="BA",
                VLOOKUP(Z$2,'TIS Site Config'!$A$3:$AQ$51,25,FALSE)="AD",
                VLOOKUP(Z$2,'TIS Site Config'!$A$3:$AQ$51,25,FALSE)="DC",
                VLOOKUP(Z$2,'TIS Site Config'!$A$3:$AQ$51,25,FALSE)="CB")),
                         1,0),0),0)</f>
        <v>0</v>
      </c>
      <c r="AA44" s="309">
        <f>IF(VLOOKUP(AA$2,'TIS Site Config'!$A$4:$AQ$51,3,FALSE)&lt;&gt;"Soft",
   IF(VLOOKUP(AA$2,'TIS Site Config'!$A$3:$AQ$51,6,FALSE)="Extreme Heated",
   IF(OR(VLOOKUP(AA$2,'TIS Site Config'!$A$3:$AQ$51,24,FALSE)="BA",
                VLOOKUP(AA$2,'TIS Site Config'!$A$3:$AQ$51,24,FALSE)="AD",
                VLOOKUP(AA$2,'TIS Site Config'!$A$3:$AQ$51,24,FALSE)="DC",
                VLOOKUP(AA$2,'TIS Site Config'!$A$3:$AQ$51,24,FALSE)="CB"),
                         1,0)+
  IF(AND(VLOOKUP(AA$2,'TIS Site Config'!$A$3:$AQ$51,22,FALSE)="Split",
                OR(VLOOKUP(AA$2,'TIS Site Config'!$A$3:$AQ$51,25,FALSE)="BA",
                VLOOKUP(AA$2,'TIS Site Config'!$A$3:$AQ$51,25,FALSE)="AD",
                VLOOKUP(AA$2,'TIS Site Config'!$A$3:$AQ$51,25,FALSE)="DC",
                VLOOKUP(AA$2,'TIS Site Config'!$A$3:$AQ$51,25,FALSE)="CB")),
                         1,0),0),0)</f>
        <v>0</v>
      </c>
      <c r="AB44" s="212">
        <f>IF(VLOOKUP(AB$2,'TIS Site Config'!$A$4:$AQ$51,3,FALSE)&lt;&gt;"Soft",
   IF(VLOOKUP(AB$2,'TIS Site Config'!$A$3:$AQ$51,6,FALSE)="Extreme Heated",
   IF(OR(VLOOKUP(AB$2,'TIS Site Config'!$A$3:$AQ$51,24,FALSE)="BA",
                VLOOKUP(AB$2,'TIS Site Config'!$A$3:$AQ$51,24,FALSE)="AD",
                VLOOKUP(AB$2,'TIS Site Config'!$A$3:$AQ$51,24,FALSE)="DC",
                VLOOKUP(AB$2,'TIS Site Config'!$A$3:$AQ$51,24,FALSE)="CB"),
                         1,0)+
  IF(AND(VLOOKUP(AB$2,'TIS Site Config'!$A$3:$AQ$51,22,FALSE)="Split",
                OR(VLOOKUP(AB$2,'TIS Site Config'!$A$3:$AQ$51,25,FALSE)="BA",
                VLOOKUP(AB$2,'TIS Site Config'!$A$3:$AQ$51,25,FALSE)="AD",
                VLOOKUP(AB$2,'TIS Site Config'!$A$3:$AQ$51,25,FALSE)="DC",
                VLOOKUP(AB$2,'TIS Site Config'!$A$3:$AQ$51,25,FALSE)="CB")),
                         1,0),0),0)</f>
        <v>0</v>
      </c>
      <c r="AC44" s="309">
        <f>IF(VLOOKUP(AC$2,'TIS Site Config'!$A$4:$AQ$51,3,FALSE)&lt;&gt;"Soft",
   IF(VLOOKUP(AC$2,'TIS Site Config'!$A$3:$AQ$51,6,FALSE)="Extreme Heated",
   IF(OR(VLOOKUP(AC$2,'TIS Site Config'!$A$3:$AQ$51,24,FALSE)="BA",
                VLOOKUP(AC$2,'TIS Site Config'!$A$3:$AQ$51,24,FALSE)="AD",
                VLOOKUP(AC$2,'TIS Site Config'!$A$3:$AQ$51,24,FALSE)="DC",
                VLOOKUP(AC$2,'TIS Site Config'!$A$3:$AQ$51,24,FALSE)="CB"),
                         1,0)+
  IF(AND(VLOOKUP(AC$2,'TIS Site Config'!$A$3:$AQ$51,22,FALSE)="Split",
                OR(VLOOKUP(AC$2,'TIS Site Config'!$A$3:$AQ$51,25,FALSE)="BA",
                VLOOKUP(AC$2,'TIS Site Config'!$A$3:$AQ$51,25,FALSE)="AD",
                VLOOKUP(AC$2,'TIS Site Config'!$A$3:$AQ$51,25,FALSE)="DC",
                VLOOKUP(AC$2,'TIS Site Config'!$A$3:$AQ$51,25,FALSE)="CB")),
                         1,0),0),0)</f>
        <v>0</v>
      </c>
      <c r="AD44" s="213">
        <f>IF(VLOOKUP(AD$2,'TIS Site Config'!$A$4:$AQ$51,3,FALSE)&lt;&gt;"Soft",
   IF(VLOOKUP(AD$2,'TIS Site Config'!$A$3:$AQ$51,6,FALSE)="Extreme Heated",
   IF(OR(VLOOKUP(AD$2,'TIS Site Config'!$A$3:$AQ$51,24,FALSE)="BA",
                VLOOKUP(AD$2,'TIS Site Config'!$A$3:$AQ$51,24,FALSE)="AD",
                VLOOKUP(AD$2,'TIS Site Config'!$A$3:$AQ$51,24,FALSE)="DC",
                VLOOKUP(AD$2,'TIS Site Config'!$A$3:$AQ$51,24,FALSE)="CB"),
                         1,0)+
  IF(AND(VLOOKUP(AD$2,'TIS Site Config'!$A$3:$AQ$51,22,FALSE)="Split",
                OR(VLOOKUP(AD$2,'TIS Site Config'!$A$3:$AQ$51,25,FALSE)="BA",
                VLOOKUP(AD$2,'TIS Site Config'!$A$3:$AQ$51,25,FALSE)="AD",
                VLOOKUP(AD$2,'TIS Site Config'!$A$3:$AQ$51,25,FALSE)="DC",
                VLOOKUP(AD$2,'TIS Site Config'!$A$3:$AQ$51,25,FALSE)="CB")),
                         1,0),0),0)</f>
        <v>0</v>
      </c>
      <c r="AE44" s="213">
        <f>IF(VLOOKUP(AE$2,'TIS Site Config'!$A$4:$AQ$51,3,FALSE)&lt;&gt;"Soft",
   IF(VLOOKUP(AE$2,'TIS Site Config'!$A$3:$AQ$51,6,FALSE)="Extreme Heated",
   IF(OR(VLOOKUP(AE$2,'TIS Site Config'!$A$3:$AQ$51,24,FALSE)="BA",
                VLOOKUP(AE$2,'TIS Site Config'!$A$3:$AQ$51,24,FALSE)="AD",
                VLOOKUP(AE$2,'TIS Site Config'!$A$3:$AQ$51,24,FALSE)="DC",
                VLOOKUP(AE$2,'TIS Site Config'!$A$3:$AQ$51,24,FALSE)="CB"),
                         1,0)+
  IF(AND(VLOOKUP(AE$2,'TIS Site Config'!$A$3:$AQ$51,22,FALSE)="Split",
                OR(VLOOKUP(AE$2,'TIS Site Config'!$A$3:$AQ$51,25,FALSE)="BA",
                VLOOKUP(AE$2,'TIS Site Config'!$A$3:$AQ$51,25,FALSE)="AD",
                VLOOKUP(AE$2,'TIS Site Config'!$A$3:$AQ$51,25,FALSE)="DC",
                VLOOKUP(AE$2,'TIS Site Config'!$A$3:$AQ$51,25,FALSE)="CB")),
                         1,0),0),0)</f>
        <v>0</v>
      </c>
      <c r="AF44" s="39">
        <f>IF(VLOOKUP(AF$2,'TIS Site Config'!$A$4:$AQ$51,3,FALSE)&lt;&gt;"Soft",
   IF(VLOOKUP(AF$2,'TIS Site Config'!$A$3:$AQ$51,6,FALSE)="Extreme Heated",
   IF(OR(VLOOKUP(AF$2,'TIS Site Config'!$A$3:$AQ$51,24,FALSE)="BA",
                VLOOKUP(AF$2,'TIS Site Config'!$A$3:$AQ$51,24,FALSE)="AD",
                VLOOKUP(AF$2,'TIS Site Config'!$A$3:$AQ$51,24,FALSE)="DC",
                VLOOKUP(AF$2,'TIS Site Config'!$A$3:$AQ$51,24,FALSE)="CB"),
                         1,0)+
  IF(AND(VLOOKUP(AF$2,'TIS Site Config'!$A$3:$AQ$51,22,FALSE)="Split",
                OR(VLOOKUP(AF$2,'TIS Site Config'!$A$3:$AQ$51,25,FALSE)="BA",
                VLOOKUP(AF$2,'TIS Site Config'!$A$3:$AQ$51,25,FALSE)="AD",
                VLOOKUP(AF$2,'TIS Site Config'!$A$3:$AQ$51,25,FALSE)="DC",
                VLOOKUP(AF$2,'TIS Site Config'!$A$3:$AQ$51,25,FALSE)="CB")),
                         1,0),0),0)</f>
        <v>0</v>
      </c>
      <c r="AG44" s="309">
        <f>IF(VLOOKUP(AG$2,'TIS Site Config'!$A$4:$AQ$51,3,FALSE)&lt;&gt;"Soft",
   IF(VLOOKUP(AG$2,'TIS Site Config'!$A$3:$AQ$51,6,FALSE)="Extreme Heated",
   IF(OR(VLOOKUP(AG$2,'TIS Site Config'!$A$3:$AQ$51,24,FALSE)="BA",
                VLOOKUP(AG$2,'TIS Site Config'!$A$3:$AQ$51,24,FALSE)="AD",
                VLOOKUP(AG$2,'TIS Site Config'!$A$3:$AQ$51,24,FALSE)="DC",
                VLOOKUP(AG$2,'TIS Site Config'!$A$3:$AQ$51,24,FALSE)="CB"),
                         1,0)+
  IF(AND(VLOOKUP(AG$2,'TIS Site Config'!$A$3:$AQ$51,22,FALSE)="Split",
                OR(VLOOKUP(AG$2,'TIS Site Config'!$A$3:$AQ$51,25,FALSE)="BA",
                VLOOKUP(AG$2,'TIS Site Config'!$A$3:$AQ$51,25,FALSE)="AD",
                VLOOKUP(AG$2,'TIS Site Config'!$A$3:$AQ$51,25,FALSE)="DC",
                VLOOKUP(AG$2,'TIS Site Config'!$A$3:$AQ$51,25,FALSE)="CB")),
                         1,0),0),0)</f>
        <v>0</v>
      </c>
      <c r="AH44" s="212">
        <f>IF(VLOOKUP(AH$2,'TIS Site Config'!$A$4:$AQ$51,3,FALSE)&lt;&gt;"Soft",
   IF(VLOOKUP(AH$2,'TIS Site Config'!$A$3:$AQ$51,6,FALSE)="Extreme Heated",
   IF(OR(VLOOKUP(AH$2,'TIS Site Config'!$A$3:$AQ$51,24,FALSE)="BA",
                VLOOKUP(AH$2,'TIS Site Config'!$A$3:$AQ$51,24,FALSE)="AD",
                VLOOKUP(AH$2,'TIS Site Config'!$A$3:$AQ$51,24,FALSE)="DC",
                VLOOKUP(AH$2,'TIS Site Config'!$A$3:$AQ$51,24,FALSE)="CB"),
                         1,0)+
  IF(AND(VLOOKUP(AH$2,'TIS Site Config'!$A$3:$AQ$51,22,FALSE)="Split",
                OR(VLOOKUP(AH$2,'TIS Site Config'!$A$3:$AQ$51,25,FALSE)="BA",
                VLOOKUP(AH$2,'TIS Site Config'!$A$3:$AQ$51,25,FALSE)="AD",
                VLOOKUP(AH$2,'TIS Site Config'!$A$3:$AQ$51,25,FALSE)="DC",
                VLOOKUP(AH$2,'TIS Site Config'!$A$3:$AQ$51,25,FALSE)="CB")),
                         1,0),0),0)</f>
        <v>0</v>
      </c>
      <c r="AI44" s="134">
        <f>IF(VLOOKUP(AI$2,'TIS Site Config'!$A$4:$AQ$51,3,FALSE)&lt;&gt;"Soft",
   IF(VLOOKUP(AI$2,'TIS Site Config'!$A$3:$AQ$51,6,FALSE)="Extreme Heated",
   IF(OR(VLOOKUP(AI$2,'TIS Site Config'!$A$3:$AQ$51,24,FALSE)="BA",
                VLOOKUP(AI$2,'TIS Site Config'!$A$3:$AQ$51,24,FALSE)="AD",
                VLOOKUP(AI$2,'TIS Site Config'!$A$3:$AQ$51,24,FALSE)="DC",
                VLOOKUP(AI$2,'TIS Site Config'!$A$3:$AQ$51,24,FALSE)="CB"),
                         1,0)+
  IF(AND(VLOOKUP(AI$2,'TIS Site Config'!$A$3:$AQ$51,22,FALSE)="Split",
                OR(VLOOKUP(AI$2,'TIS Site Config'!$A$3:$AQ$51,25,FALSE)="BA",
                VLOOKUP(AI$2,'TIS Site Config'!$A$3:$AQ$51,25,FALSE)="AD",
                VLOOKUP(AI$2,'TIS Site Config'!$A$3:$AQ$51,25,FALSE)="DC",
                VLOOKUP(AI$2,'TIS Site Config'!$A$3:$AQ$51,25,FALSE)="CB")),
                         1,0),0),0)</f>
        <v>0</v>
      </c>
      <c r="AJ44" s="309">
        <f>IF(VLOOKUP(AJ$2,'TIS Site Config'!$A$4:$AQ$51,3,FALSE)&lt;&gt;"Soft",
   IF(VLOOKUP(AJ$2,'TIS Site Config'!$A$3:$AQ$51,6,FALSE)="Extreme Heated",
   IF(OR(VLOOKUP(AJ$2,'TIS Site Config'!$A$3:$AQ$51,24,FALSE)="BA",
                VLOOKUP(AJ$2,'TIS Site Config'!$A$3:$AQ$51,24,FALSE)="AD",
                VLOOKUP(AJ$2,'TIS Site Config'!$A$3:$AQ$51,24,FALSE)="DC",
                VLOOKUP(AJ$2,'TIS Site Config'!$A$3:$AQ$51,24,FALSE)="CB"),
                         1,0)+
  IF(AND(VLOOKUP(AJ$2,'TIS Site Config'!$A$3:$AQ$51,22,FALSE)="Split",
                OR(VLOOKUP(AJ$2,'TIS Site Config'!$A$3:$AQ$51,25,FALSE)="BA",
                VLOOKUP(AJ$2,'TIS Site Config'!$A$3:$AQ$51,25,FALSE)="AD",
                VLOOKUP(AJ$2,'TIS Site Config'!$A$3:$AQ$51,25,FALSE)="DC",
                VLOOKUP(AJ$2,'TIS Site Config'!$A$3:$AQ$51,25,FALSE)="CB")),
                         1,0),0),0)</f>
        <v>0</v>
      </c>
      <c r="AK44" s="212">
        <f>IF(VLOOKUP(AK$2,'TIS Site Config'!$A$4:$AQ$51,3,FALSE)&lt;&gt;"Soft",
   IF(VLOOKUP(AK$2,'TIS Site Config'!$A$3:$AQ$51,6,FALSE)="Extreme Heated",
   IF(OR(VLOOKUP(AK$2,'TIS Site Config'!$A$3:$AQ$51,24,FALSE)="BA",
                VLOOKUP(AK$2,'TIS Site Config'!$A$3:$AQ$51,24,FALSE)="AD",
                VLOOKUP(AK$2,'TIS Site Config'!$A$3:$AQ$51,24,FALSE)="DC",
                VLOOKUP(AK$2,'TIS Site Config'!$A$3:$AQ$51,24,FALSE)="CB"),
                         1,0)+
  IF(AND(VLOOKUP(AK$2,'TIS Site Config'!$A$3:$AQ$51,22,FALSE)="Split",
                OR(VLOOKUP(AK$2,'TIS Site Config'!$A$3:$AQ$51,25,FALSE)="BA",
                VLOOKUP(AK$2,'TIS Site Config'!$A$3:$AQ$51,25,FALSE)="AD",
                VLOOKUP(AK$2,'TIS Site Config'!$A$3:$AQ$51,25,FALSE)="DC",
                VLOOKUP(AK$2,'TIS Site Config'!$A$3:$AQ$51,25,FALSE)="CB")),
                         1,0),0),0)</f>
        <v>0</v>
      </c>
      <c r="AL44" s="134">
        <f>IF(VLOOKUP(AL$2,'TIS Site Config'!$A$4:$AQ$51,3,FALSE)&lt;&gt;"Soft",
   IF(VLOOKUP(AL$2,'TIS Site Config'!$A$3:$AQ$51,6,FALSE)="Extreme Heated",
   IF(OR(VLOOKUP(AL$2,'TIS Site Config'!$A$3:$AQ$51,24,FALSE)="BA",
                VLOOKUP(AL$2,'TIS Site Config'!$A$3:$AQ$51,24,FALSE)="AD",
                VLOOKUP(AL$2,'TIS Site Config'!$A$3:$AQ$51,24,FALSE)="DC",
                VLOOKUP(AL$2,'TIS Site Config'!$A$3:$AQ$51,24,FALSE)="CB"),
                         1,0)+
  IF(AND(VLOOKUP(AL$2,'TIS Site Config'!$A$3:$AQ$51,22,FALSE)="Split",
                OR(VLOOKUP(AL$2,'TIS Site Config'!$A$3:$AQ$51,25,FALSE)="BA",
                VLOOKUP(AL$2,'TIS Site Config'!$A$3:$AQ$51,25,FALSE)="AD",
                VLOOKUP(AL$2,'TIS Site Config'!$A$3:$AQ$51,25,FALSE)="DC",
                VLOOKUP(AL$2,'TIS Site Config'!$A$3:$AQ$51,25,FALSE)="CB")),
                         1,0),0),0)</f>
        <v>0</v>
      </c>
      <c r="AM44" s="309">
        <f>IF(VLOOKUP(AM$2,'TIS Site Config'!$A$4:$AQ$51,3,FALSE)&lt;&gt;"Soft",
   IF(VLOOKUP(AM$2,'TIS Site Config'!$A$3:$AQ$51,6,FALSE)="Extreme Heated",
   IF(OR(VLOOKUP(AM$2,'TIS Site Config'!$A$3:$AQ$51,24,FALSE)="BA",
                VLOOKUP(AM$2,'TIS Site Config'!$A$3:$AQ$51,24,FALSE)="AD",
                VLOOKUP(AM$2,'TIS Site Config'!$A$3:$AQ$51,24,FALSE)="DC",
                VLOOKUP(AM$2,'TIS Site Config'!$A$3:$AQ$51,24,FALSE)="CB"),
                         1,0)+
  IF(AND(VLOOKUP(AM$2,'TIS Site Config'!$A$3:$AQ$51,22,FALSE)="Split",
                OR(VLOOKUP(AM$2,'TIS Site Config'!$A$3:$AQ$51,25,FALSE)="BA",
                VLOOKUP(AM$2,'TIS Site Config'!$A$3:$AQ$51,25,FALSE)="AD",
                VLOOKUP(AM$2,'TIS Site Config'!$A$3:$AQ$51,25,FALSE)="DC",
                VLOOKUP(AM$2,'TIS Site Config'!$A$3:$AQ$51,25,FALSE)="CB")),
                         1,0),0),0)</f>
        <v>0</v>
      </c>
      <c r="AN44" s="212">
        <f>IF(VLOOKUP(AN$2,'TIS Site Config'!$A$4:$AQ$51,3,FALSE)&lt;&gt;"Soft",
   IF(VLOOKUP(AN$2,'TIS Site Config'!$A$3:$AQ$51,6,FALSE)="Extreme Heated",
   IF(OR(VLOOKUP(AN$2,'TIS Site Config'!$A$3:$AQ$51,24,FALSE)="BA",
                VLOOKUP(AN$2,'TIS Site Config'!$A$3:$AQ$51,24,FALSE)="AD",
                VLOOKUP(AN$2,'TIS Site Config'!$A$3:$AQ$51,24,FALSE)="DC",
                VLOOKUP(AN$2,'TIS Site Config'!$A$3:$AQ$51,24,FALSE)="CB"),
                         1,0)+
  IF(AND(VLOOKUP(AN$2,'TIS Site Config'!$A$3:$AQ$51,22,FALSE)="Split",
                OR(VLOOKUP(AN$2,'TIS Site Config'!$A$3:$AQ$51,25,FALSE)="BA",
                VLOOKUP(AN$2,'TIS Site Config'!$A$3:$AQ$51,25,FALSE)="AD",
                VLOOKUP(AN$2,'TIS Site Config'!$A$3:$AQ$51,25,FALSE)="DC",
                VLOOKUP(AN$2,'TIS Site Config'!$A$3:$AQ$51,25,FALSE)="CB")),
                         1,0),0),0)</f>
        <v>0</v>
      </c>
      <c r="AO44" s="134">
        <f>IF(VLOOKUP(AO$2,'TIS Site Config'!$A$4:$AQ$51,3,FALSE)&lt;&gt;"Soft",
   IF(VLOOKUP(AO$2,'TIS Site Config'!$A$3:$AQ$51,6,FALSE)="Extreme Heated",
   IF(OR(VLOOKUP(AO$2,'TIS Site Config'!$A$3:$AQ$51,24,FALSE)="BA",
                VLOOKUP(AO$2,'TIS Site Config'!$A$3:$AQ$51,24,FALSE)="AD",
                VLOOKUP(AO$2,'TIS Site Config'!$A$3:$AQ$51,24,FALSE)="DC",
                VLOOKUP(AO$2,'TIS Site Config'!$A$3:$AQ$51,24,FALSE)="CB"),
                         1,0)+
  IF(AND(VLOOKUP(AO$2,'TIS Site Config'!$A$3:$AQ$51,22,FALSE)="Split",
                OR(VLOOKUP(AO$2,'TIS Site Config'!$A$3:$AQ$51,25,FALSE)="BA",
                VLOOKUP(AO$2,'TIS Site Config'!$A$3:$AQ$51,25,FALSE)="AD",
                VLOOKUP(AO$2,'TIS Site Config'!$A$3:$AQ$51,25,FALSE)="DC",
                VLOOKUP(AO$2,'TIS Site Config'!$A$3:$AQ$51,25,FALSE)="CB")),
                         1,0),0),0)</f>
        <v>0</v>
      </c>
      <c r="AP44" s="309">
        <f>IF(VLOOKUP(AP$2,'TIS Site Config'!$A$4:$AQ$51,3,FALSE)&lt;&gt;"Soft",
   IF(VLOOKUP(AP$2,'TIS Site Config'!$A$3:$AQ$51,6,FALSE)="Extreme Heated",
   IF(OR(VLOOKUP(AP$2,'TIS Site Config'!$A$3:$AQ$51,24,FALSE)="BA",
                VLOOKUP(AP$2,'TIS Site Config'!$A$3:$AQ$51,24,FALSE)="AD",
                VLOOKUP(AP$2,'TIS Site Config'!$A$3:$AQ$51,24,FALSE)="DC",
                VLOOKUP(AP$2,'TIS Site Config'!$A$3:$AQ$51,24,FALSE)="CB"),
                         1,0)+
  IF(AND(VLOOKUP(AP$2,'TIS Site Config'!$A$3:$AQ$51,22,FALSE)="Split",
                OR(VLOOKUP(AP$2,'TIS Site Config'!$A$3:$AQ$51,25,FALSE)="BA",
                VLOOKUP(AP$2,'TIS Site Config'!$A$3:$AQ$51,25,FALSE)="AD",
                VLOOKUP(AP$2,'TIS Site Config'!$A$3:$AQ$51,25,FALSE)="DC",
                VLOOKUP(AP$2,'TIS Site Config'!$A$3:$AQ$51,25,FALSE)="CB")),
                         1,0),0),0)</f>
        <v>0</v>
      </c>
      <c r="AQ44" s="134">
        <f>IF(VLOOKUP(AQ$2,'TIS Site Config'!$A$4:$AQ$51,3,FALSE)&lt;&gt;"Soft",
   IF(VLOOKUP(AQ$2,'TIS Site Config'!$A$3:$AQ$51,6,FALSE)="Extreme Heated",
   IF(OR(VLOOKUP(AQ$2,'TIS Site Config'!$A$3:$AQ$51,24,FALSE)="BA",
                VLOOKUP(AQ$2,'TIS Site Config'!$A$3:$AQ$51,24,FALSE)="AD",
                VLOOKUP(AQ$2,'TIS Site Config'!$A$3:$AQ$51,24,FALSE)="DC",
                VLOOKUP(AQ$2,'TIS Site Config'!$A$3:$AQ$51,24,FALSE)="CB"),
                         1,0)+
  IF(AND(VLOOKUP(AQ$2,'TIS Site Config'!$A$3:$AQ$51,22,FALSE)="Split",
                OR(VLOOKUP(AQ$2,'TIS Site Config'!$A$3:$AQ$51,25,FALSE)="BA",
                VLOOKUP(AQ$2,'TIS Site Config'!$A$3:$AQ$51,25,FALSE)="AD",
                VLOOKUP(AQ$2,'TIS Site Config'!$A$3:$AQ$51,25,FALSE)="DC",
                VLOOKUP(AQ$2,'TIS Site Config'!$A$3:$AQ$51,25,FALSE)="CB")),
                         1,0),0),0)</f>
        <v>0</v>
      </c>
      <c r="AR44" s="134">
        <f>IF(VLOOKUP(AR$2,'TIS Site Config'!$A$4:$AQ$51,3,FALSE)&lt;&gt;"Soft",
   IF(VLOOKUP(AR$2,'TIS Site Config'!$A$3:$AQ$51,6,FALSE)="Extreme Heated",
   IF(OR(VLOOKUP(AR$2,'TIS Site Config'!$A$3:$AQ$51,24,FALSE)="BA",
                VLOOKUP(AR$2,'TIS Site Config'!$A$3:$AQ$51,24,FALSE)="AD",
                VLOOKUP(AR$2,'TIS Site Config'!$A$3:$AQ$51,24,FALSE)="DC",
                VLOOKUP(AR$2,'TIS Site Config'!$A$3:$AQ$51,24,FALSE)="CB"),
                         1,0)+
  IF(AND(VLOOKUP(AR$2,'TIS Site Config'!$A$3:$AQ$51,22,FALSE)="Split",
                OR(VLOOKUP(AR$2,'TIS Site Config'!$A$3:$AQ$51,25,FALSE)="BA",
                VLOOKUP(AR$2,'TIS Site Config'!$A$3:$AQ$51,25,FALSE)="AD",
                VLOOKUP(AR$2,'TIS Site Config'!$A$3:$AQ$51,25,FALSE)="DC",
                VLOOKUP(AR$2,'TIS Site Config'!$A$3:$AQ$51,25,FALSE)="CB")),
                         1,0),0),0)</f>
        <v>1</v>
      </c>
      <c r="AS44" s="309">
        <f>IF(VLOOKUP(AS$2,'TIS Site Config'!$A$4:$AQ$51,3,FALSE)&lt;&gt;"Soft",
   IF(VLOOKUP(AS$2,'TIS Site Config'!$A$3:$AQ$51,6,FALSE)="Extreme Heated",
   IF(OR(VLOOKUP(AS$2,'TIS Site Config'!$A$3:$AQ$51,24,FALSE)="BA",
                VLOOKUP(AS$2,'TIS Site Config'!$A$3:$AQ$51,24,FALSE)="AD",
                VLOOKUP(AS$2,'TIS Site Config'!$A$3:$AQ$51,24,FALSE)="DC",
                VLOOKUP(AS$2,'TIS Site Config'!$A$3:$AQ$51,24,FALSE)="CB"),
                         1,0)+
  IF(AND(VLOOKUP(AS$2,'TIS Site Config'!$A$3:$AQ$51,22,FALSE)="Split",
                OR(VLOOKUP(AS$2,'TIS Site Config'!$A$3:$AQ$51,25,FALSE)="BA",
                VLOOKUP(AS$2,'TIS Site Config'!$A$3:$AQ$51,25,FALSE)="AD",
                VLOOKUP(AS$2,'TIS Site Config'!$A$3:$AQ$51,25,FALSE)="DC",
                VLOOKUP(AS$2,'TIS Site Config'!$A$3:$AQ$51,25,FALSE)="CB")),
                         1,0),0),0)</f>
        <v>0</v>
      </c>
      <c r="AT44" s="134">
        <f>IF(VLOOKUP(AT$2,'TIS Site Config'!$A$4:$AQ$51,3,FALSE)&lt;&gt;"Soft",
   IF(VLOOKUP(AT$2,'TIS Site Config'!$A$3:$AQ$51,6,FALSE)="Extreme Heated",
   IF(OR(VLOOKUP(AT$2,'TIS Site Config'!$A$3:$AQ$51,24,FALSE)="BA",
                VLOOKUP(AT$2,'TIS Site Config'!$A$3:$AQ$51,24,FALSE)="AD",
                VLOOKUP(AT$2,'TIS Site Config'!$A$3:$AQ$51,24,FALSE)="DC",
                VLOOKUP(AT$2,'TIS Site Config'!$A$3:$AQ$51,24,FALSE)="CB"),
                         1,0)+
  IF(AND(VLOOKUP(AT$2,'TIS Site Config'!$A$3:$AQ$51,22,FALSE)="Split",
                OR(VLOOKUP(AT$2,'TIS Site Config'!$A$3:$AQ$51,25,FALSE)="BA",
                VLOOKUP(AT$2,'TIS Site Config'!$A$3:$AQ$51,25,FALSE)="AD",
                VLOOKUP(AT$2,'TIS Site Config'!$A$3:$AQ$51,25,FALSE)="DC",
                VLOOKUP(AT$2,'TIS Site Config'!$A$3:$AQ$51,25,FALSE)="CB")),
                         1,0),0),0)</f>
        <v>0</v>
      </c>
      <c r="AU44" s="309">
        <f>IF(VLOOKUP(AU$2,'TIS Site Config'!$A$4:$AQ$51,3,FALSE)&lt;&gt;"Soft",
   IF(VLOOKUP(AU$2,'TIS Site Config'!$A$3:$AQ$51,6,FALSE)="Extreme Heated",
   IF(OR(VLOOKUP(AU$2,'TIS Site Config'!$A$3:$AQ$51,24,FALSE)="BA",
                VLOOKUP(AU$2,'TIS Site Config'!$A$3:$AQ$51,24,FALSE)="AD",
                VLOOKUP(AU$2,'TIS Site Config'!$A$3:$AQ$51,24,FALSE)="DC",
                VLOOKUP(AU$2,'TIS Site Config'!$A$3:$AQ$51,24,FALSE)="CB"),
                         1,0)+
  IF(AND(VLOOKUP(AU$2,'TIS Site Config'!$A$3:$AQ$51,22,FALSE)="Split",
                OR(VLOOKUP(AU$2,'TIS Site Config'!$A$3:$AQ$51,25,FALSE)="BA",
                VLOOKUP(AU$2,'TIS Site Config'!$A$3:$AQ$51,25,FALSE)="AD",
                VLOOKUP(AU$2,'TIS Site Config'!$A$3:$AQ$51,25,FALSE)="DC",
                VLOOKUP(AU$2,'TIS Site Config'!$A$3:$AQ$51,25,FALSE)="CB")),
                         1,0),0),0)</f>
        <v>0</v>
      </c>
      <c r="AV44" s="134">
        <f>IF(VLOOKUP(AV$2,'TIS Site Config'!$A$4:$AQ$51,3,FALSE)&lt;&gt;"Soft",
   IF(VLOOKUP(AV$2,'TIS Site Config'!$A$3:$AQ$51,6,FALSE)="Extreme Heated",
   IF(OR(VLOOKUP(AV$2,'TIS Site Config'!$A$3:$AQ$51,24,FALSE)="BA",
                VLOOKUP(AV$2,'TIS Site Config'!$A$3:$AQ$51,24,FALSE)="AD",
                VLOOKUP(AV$2,'TIS Site Config'!$A$3:$AQ$51,24,FALSE)="DC",
                VLOOKUP(AV$2,'TIS Site Config'!$A$3:$AQ$51,24,FALSE)="CB"),
                         1,0)+
  IF(AND(VLOOKUP(AV$2,'TIS Site Config'!$A$3:$AQ$51,22,FALSE)="Split",
                OR(VLOOKUP(AV$2,'TIS Site Config'!$A$3:$AQ$51,25,FALSE)="BA",
                VLOOKUP(AV$2,'TIS Site Config'!$A$3:$AQ$51,25,FALSE)="AD",
                VLOOKUP(AV$2,'TIS Site Config'!$A$3:$AQ$51,25,FALSE)="DC",
                VLOOKUP(AV$2,'TIS Site Config'!$A$3:$AQ$51,25,FALSE)="CB")),
                         1,0),0),0)</f>
        <v>0</v>
      </c>
      <c r="AW44" s="134">
        <f>IF(VLOOKUP(AW$2,'TIS Site Config'!$A$4:$AQ$51,3,FALSE)&lt;&gt;"Soft",
   IF(VLOOKUP(AW$2,'TIS Site Config'!$A$3:$AQ$51,6,FALSE)="Extreme Heated",
   IF(OR(VLOOKUP(AW$2,'TIS Site Config'!$A$3:$AQ$51,24,FALSE)="BA",
                VLOOKUP(AW$2,'TIS Site Config'!$A$3:$AQ$51,24,FALSE)="AD",
                VLOOKUP(AW$2,'TIS Site Config'!$A$3:$AQ$51,24,FALSE)="DC",
                VLOOKUP(AW$2,'TIS Site Config'!$A$3:$AQ$51,24,FALSE)="CB"),
                         1,0)+
  IF(AND(VLOOKUP(AW$2,'TIS Site Config'!$A$3:$AQ$51,22,FALSE)="Split",
                OR(VLOOKUP(AW$2,'TIS Site Config'!$A$3:$AQ$51,25,FALSE)="BA",
                VLOOKUP(AW$2,'TIS Site Config'!$A$3:$AQ$51,25,FALSE)="AD",
                VLOOKUP(AW$2,'TIS Site Config'!$A$3:$AQ$51,25,FALSE)="DC",
                VLOOKUP(AW$2,'TIS Site Config'!$A$3:$AQ$51,25,FALSE)="CB")),
                         1,0),0),0)</f>
        <v>0</v>
      </c>
      <c r="AX44" s="212">
        <f>IF(VLOOKUP(AX$2,'TIS Site Config'!$A$4:$AQ$51,3,FALSE)&lt;&gt;"Soft",
   IF(VLOOKUP(AX$2,'TIS Site Config'!$A$3:$AQ$51,6,FALSE)="Extreme Heated",
   IF(OR(VLOOKUP(AX$2,'TIS Site Config'!$A$3:$AQ$51,24,FALSE)="BA",
                VLOOKUP(AX$2,'TIS Site Config'!$A$3:$AQ$51,24,FALSE)="AD",
                VLOOKUP(AX$2,'TIS Site Config'!$A$3:$AQ$51,24,FALSE)="DC",
                VLOOKUP(AX$2,'TIS Site Config'!$A$3:$AQ$51,24,FALSE)="CB"),
                         1,0)+
  IF(AND(VLOOKUP(AX$2,'TIS Site Config'!$A$3:$AQ$51,22,FALSE)="Split",
                OR(VLOOKUP(AX$2,'TIS Site Config'!$A$3:$AQ$51,25,FALSE)="BA",
                VLOOKUP(AX$2,'TIS Site Config'!$A$3:$AQ$51,25,FALSE)="AD",
                VLOOKUP(AX$2,'TIS Site Config'!$A$3:$AQ$51,25,FALSE)="DC",
                VLOOKUP(AX$2,'TIS Site Config'!$A$3:$AQ$51,25,FALSE)="CB")),
                         1,0),0),0)</f>
        <v>0</v>
      </c>
      <c r="AY44" s="134">
        <f>IF(VLOOKUP(AY$2,'TIS Site Config'!$A$4:$AQ$51,3,FALSE)&lt;&gt;"Soft",
   IF(VLOOKUP(AY$2,'TIS Site Config'!$A$3:$AQ$51,6,FALSE)="Extreme Heated",
   IF(OR(VLOOKUP(AY$2,'TIS Site Config'!$A$3:$AQ$51,24,FALSE)="BA",
                VLOOKUP(AY$2,'TIS Site Config'!$A$3:$AQ$51,24,FALSE)="AD",
                VLOOKUP(AY$2,'TIS Site Config'!$A$3:$AQ$51,24,FALSE)="DC",
                VLOOKUP(AY$2,'TIS Site Config'!$A$3:$AQ$51,24,FALSE)="CB"),
                         1,0)+
  IF(AND(VLOOKUP(AY$2,'TIS Site Config'!$A$3:$AQ$51,22,FALSE)="Split",
                OR(VLOOKUP(AY$2,'TIS Site Config'!$A$3:$AQ$51,25,FALSE)="BA",
                VLOOKUP(AY$2,'TIS Site Config'!$A$3:$AQ$51,25,FALSE)="AD",
                VLOOKUP(AY$2,'TIS Site Config'!$A$3:$AQ$51,25,FALSE)="DC",
                VLOOKUP(AY$2,'TIS Site Config'!$A$3:$AQ$51,25,FALSE)="CB")),
                         1,0),0),0)</f>
        <v>0</v>
      </c>
      <c r="AZ44" s="309">
        <f>IF(VLOOKUP(AZ$2,'TIS Site Config'!$A$4:$AQ$51,3,FALSE)&lt;&gt;"Soft",
   IF(VLOOKUP(AZ$2,'TIS Site Config'!$A$3:$AQ$51,6,FALSE)="Extreme Heated",
   IF(OR(VLOOKUP(AZ$2,'TIS Site Config'!$A$3:$AQ$51,24,FALSE)="BA",
                VLOOKUP(AZ$2,'TIS Site Config'!$A$3:$AQ$51,24,FALSE)="AD",
                VLOOKUP(AZ$2,'TIS Site Config'!$A$3:$AQ$51,24,FALSE)="DC",
                VLOOKUP(AZ$2,'TIS Site Config'!$A$3:$AQ$51,24,FALSE)="CB"),
                         1,0)+
  IF(AND(VLOOKUP(AZ$2,'TIS Site Config'!$A$3:$AQ$51,22,FALSE)="Split",
                OR(VLOOKUP(AZ$2,'TIS Site Config'!$A$3:$AQ$51,25,FALSE)="BA",
                VLOOKUP(AZ$2,'TIS Site Config'!$A$3:$AQ$51,25,FALSE)="AD",
                VLOOKUP(AZ$2,'TIS Site Config'!$A$3:$AQ$51,25,FALSE)="DC",
                VLOOKUP(AZ$2,'TIS Site Config'!$A$3:$AQ$51,25,FALSE)="CB")),
                         1,0),0),0)</f>
        <v>0</v>
      </c>
      <c r="BA44" s="213">
        <f>IF(VLOOKUP(BA$2,'TIS Site Config'!$A$4:$AQ$51,3,FALSE)&lt;&gt;"Soft",
   IF(VLOOKUP(BA$2,'TIS Site Config'!$A$3:$AQ$51,6,FALSE)="Extreme Heated",
   IF(OR(VLOOKUP(BA$2,'TIS Site Config'!$A$3:$AQ$51,24,FALSE)="BA",
                VLOOKUP(BA$2,'TIS Site Config'!$A$3:$AQ$51,24,FALSE)="AD",
                VLOOKUP(BA$2,'TIS Site Config'!$A$3:$AQ$51,24,FALSE)="DC",
                VLOOKUP(BA$2,'TIS Site Config'!$A$3:$AQ$51,24,FALSE)="CB"),
                         1,0)+
  IF(AND(VLOOKUP(BA$2,'TIS Site Config'!$A$3:$AQ$51,22,FALSE)="Split",
                OR(VLOOKUP(BA$2,'TIS Site Config'!$A$3:$AQ$51,25,FALSE)="BA",
                VLOOKUP(BA$2,'TIS Site Config'!$A$3:$AQ$51,25,FALSE)="AD",
                VLOOKUP(BA$2,'TIS Site Config'!$A$3:$AQ$51,25,FALSE)="DC",
                VLOOKUP(BA$2,'TIS Site Config'!$A$3:$AQ$51,25,FALSE)="CB")),
                         1,0),0),0)</f>
        <v>0</v>
      </c>
      <c r="BB44" s="134">
        <f>IF(VLOOKUP(BB$2,'TIS Site Config'!$A$4:$AQ$51,3,FALSE)&lt;&gt;"Soft",
   IF(VLOOKUP(BB$2,'TIS Site Config'!$A$3:$AQ$51,6,FALSE)="Extreme Heated",
   IF(OR(VLOOKUP(BB$2,'TIS Site Config'!$A$3:$AQ$51,24,FALSE)="BA",
                VLOOKUP(BB$2,'TIS Site Config'!$A$3:$AQ$51,24,FALSE)="AD",
                VLOOKUP(BB$2,'TIS Site Config'!$A$3:$AQ$51,24,FALSE)="DC",
                VLOOKUP(BB$2,'TIS Site Config'!$A$3:$AQ$51,24,FALSE)="CB"),
                         1,0)+
  IF(AND(VLOOKUP(BB$2,'TIS Site Config'!$A$3:$AQ$51,22,FALSE)="Split",
                OR(VLOOKUP(BB$2,'TIS Site Config'!$A$3:$AQ$51,25,FALSE)="BA",
                VLOOKUP(BB$2,'TIS Site Config'!$A$3:$AQ$51,25,FALSE)="AD",
                VLOOKUP(BB$2,'TIS Site Config'!$A$3:$AQ$51,25,FALSE)="DC",
                VLOOKUP(BB$2,'TIS Site Config'!$A$3:$AQ$51,25,FALSE)="CB")),
                         1,0),0),0)</f>
        <v>1</v>
      </c>
      <c r="BC44" s="212">
        <f>IF(VLOOKUP(BC$2,'TIS Site Config'!$A$4:$AQ$51,3,FALSE)&lt;&gt;"Soft",
   IF(VLOOKUP(BC$2,'TIS Site Config'!$A$3:$AQ$51,6,FALSE)="Extreme Heated",
   IF(OR(VLOOKUP(BC$2,'TIS Site Config'!$A$3:$AQ$51,24,FALSE)="BA",
                VLOOKUP(BC$2,'TIS Site Config'!$A$3:$AQ$51,24,FALSE)="AD",
                VLOOKUP(BC$2,'TIS Site Config'!$A$3:$AQ$51,24,FALSE)="DC",
                VLOOKUP(BC$2,'TIS Site Config'!$A$3:$AQ$51,24,FALSE)="CB"),
                         1,0)+
  IF(AND(VLOOKUP(BC$2,'TIS Site Config'!$A$3:$AQ$51,22,FALSE)="Split",
                OR(VLOOKUP(BC$2,'TIS Site Config'!$A$3:$AQ$51,25,FALSE)="BA",
                VLOOKUP(BC$2,'TIS Site Config'!$A$3:$AQ$51,25,FALSE)="AD",
                VLOOKUP(BC$2,'TIS Site Config'!$A$3:$AQ$51,25,FALSE)="DC",
                VLOOKUP(BC$2,'TIS Site Config'!$A$3:$AQ$51,25,FALSE)="CB")),
                         1,0),0),0)</f>
        <v>1</v>
      </c>
      <c r="BD44" s="134">
        <f>IF(VLOOKUP(BD$2,'TIS Site Config'!$A$4:$AQ$51,3,FALSE)&lt;&gt;"Soft",
   IF(VLOOKUP(BD$2,'TIS Site Config'!$A$3:$AQ$51,6,FALSE)="Extreme Heated",
   IF(OR(VLOOKUP(BD$2,'TIS Site Config'!$A$3:$AQ$51,24,FALSE)="BA",
                VLOOKUP(BD$2,'TIS Site Config'!$A$3:$AQ$51,24,FALSE)="AD",
                VLOOKUP(BD$2,'TIS Site Config'!$A$3:$AQ$51,24,FALSE)="DC",
                VLOOKUP(BD$2,'TIS Site Config'!$A$3:$AQ$51,24,FALSE)="CB"),
                         1,0)+
  IF(AND(VLOOKUP(BD$2,'TIS Site Config'!$A$3:$AQ$51,22,FALSE)="Split",
                OR(VLOOKUP(BD$2,'TIS Site Config'!$A$3:$AQ$51,25,FALSE)="BA",
                VLOOKUP(BD$2,'TIS Site Config'!$A$3:$AQ$51,25,FALSE)="AD",
                VLOOKUP(BD$2,'TIS Site Config'!$A$3:$AQ$51,25,FALSE)="DC",
                VLOOKUP(BD$2,'TIS Site Config'!$A$3:$AQ$51,25,FALSE)="CB")),
                         1,0),0),0)</f>
        <v>1</v>
      </c>
      <c r="BE44" s="309">
        <f>IF(VLOOKUP(BE$2,'TIS Site Config'!$A$4:$AQ$51,3,FALSE)&lt;&gt;"Soft",
   IF(VLOOKUP(BE$2,'TIS Site Config'!$A$3:$AQ$51,6,FALSE)="Extreme Heated",
   IF(OR(VLOOKUP(BE$2,'TIS Site Config'!$A$3:$AQ$51,24,FALSE)="BA",
                VLOOKUP(BE$2,'TIS Site Config'!$A$3:$AQ$51,24,FALSE)="AD",
                VLOOKUP(BE$2,'TIS Site Config'!$A$3:$AQ$51,24,FALSE)="DC",
                VLOOKUP(BE$2,'TIS Site Config'!$A$3:$AQ$51,24,FALSE)="CB"),
                         1,0)+
  IF(AND(VLOOKUP(BE$2,'TIS Site Config'!$A$3:$AQ$51,22,FALSE)="Split",
                OR(VLOOKUP(BE$2,'TIS Site Config'!$A$3:$AQ$51,25,FALSE)="BA",
                VLOOKUP(BE$2,'TIS Site Config'!$A$3:$AQ$51,25,FALSE)="AD",
                VLOOKUP(BE$2,'TIS Site Config'!$A$3:$AQ$51,25,FALSE)="DC",
                VLOOKUP(BE$2,'TIS Site Config'!$A$3:$AQ$51,25,FALSE)="CB")),
                         1,0),0),0)</f>
        <v>1</v>
      </c>
      <c r="BF44" s="212">
        <f>IF(VLOOKUP(BF$2,'TIS Site Config'!$A$4:$AQ$51,3,FALSE)&lt;&gt;"Soft",
   IF(VLOOKUP(BF$2,'TIS Site Config'!$A$3:$AQ$51,6,FALSE)="Extreme Heated",
   IF(OR(VLOOKUP(BF$2,'TIS Site Config'!$A$3:$AQ$51,24,FALSE)="BA",
                VLOOKUP(BF$2,'TIS Site Config'!$A$3:$AQ$51,24,FALSE)="AD",
                VLOOKUP(BF$2,'TIS Site Config'!$A$3:$AQ$51,24,FALSE)="DC",
                VLOOKUP(BF$2,'TIS Site Config'!$A$3:$AQ$51,24,FALSE)="CB"),
                         1,0)+
  IF(AND(VLOOKUP(BF$2,'TIS Site Config'!$A$3:$AQ$51,22,FALSE)="Split",
                OR(VLOOKUP(BF$2,'TIS Site Config'!$A$3:$AQ$51,25,FALSE)="BA",
                VLOOKUP(BF$2,'TIS Site Config'!$A$3:$AQ$51,25,FALSE)="AD",
                VLOOKUP(BF$2,'TIS Site Config'!$A$3:$AQ$51,25,FALSE)="DC",
                VLOOKUP(BF$2,'TIS Site Config'!$A$3:$AQ$51,25,FALSE)="CB")),
                         1,0),0),0)</f>
        <v>1</v>
      </c>
      <c r="BG44" s="60">
        <f>IF(VLOOKUP(BG$2,'TIS Site Config'!$A$4:$AQ$51,3,FALSE)&lt;&gt;"Soft",
   IF(VLOOKUP(BG$2,'TIS Site Config'!$A$3:$AQ$51,6,FALSE)="Extreme Heated",
   IF(OR(VLOOKUP(BG$2,'TIS Site Config'!$A$3:$AQ$51,24,FALSE)="BA",
                VLOOKUP(BG$2,'TIS Site Config'!$A$3:$AQ$51,24,FALSE)="AD",
                VLOOKUP(BG$2,'TIS Site Config'!$A$3:$AQ$51,24,FALSE)="DC",
                VLOOKUP(BG$2,'TIS Site Config'!$A$3:$AQ$51,24,FALSE)="CB"),
                         1,0)+
  IF(AND(VLOOKUP(BG$2,'TIS Site Config'!$A$3:$AQ$51,22,FALSE)="Split",
                OR(VLOOKUP(BG$2,'TIS Site Config'!$A$3:$AQ$51,25,FALSE)="BA",
                VLOOKUP(BG$2,'TIS Site Config'!$A$3:$AQ$51,25,FALSE)="AD",
                VLOOKUP(BG$2,'TIS Site Config'!$A$3:$AQ$51,25,FALSE)="DC",
                VLOOKUP(BG$2,'TIS Site Config'!$A$3:$AQ$51,25,FALSE)="CB")),
                         1,0),0),0)</f>
        <v>0</v>
      </c>
      <c r="BH44" s="60">
        <f>IF(VLOOKUP(BH$2,'TIS Site Config'!$A$4:$AQ$51,3,FALSE)&lt;&gt;"Soft",
   IF(VLOOKUP(BH$2,'TIS Site Config'!$A$3:$AQ$51,6,FALSE)="Extreme Heated",
   IF(OR(VLOOKUP(BH$2,'TIS Site Config'!$A$3:$AQ$51,24,FALSE)="BA",
                VLOOKUP(BH$2,'TIS Site Config'!$A$3:$AQ$51,24,FALSE)="AD",
                VLOOKUP(BH$2,'TIS Site Config'!$A$3:$AQ$51,24,FALSE)="DC",
                VLOOKUP(BH$2,'TIS Site Config'!$A$3:$AQ$51,24,FALSE)="CB"),
                         1,0)+
  IF(AND(VLOOKUP(BH$2,'TIS Site Config'!$A$3:$AQ$51,22,FALSE)="Split",
                OR(VLOOKUP(BH$2,'TIS Site Config'!$A$3:$AQ$51,25,FALSE)="BA",
                VLOOKUP(BH$2,'TIS Site Config'!$A$3:$AQ$51,25,FALSE)="AD",
                VLOOKUP(BH$2,'TIS Site Config'!$A$3:$AQ$51,25,FALSE)="DC",
                VLOOKUP(BH$2,'TIS Site Config'!$A$3:$AQ$51,25,FALSE)="CB")),
                         1,0),0),0)</f>
        <v>0</v>
      </c>
      <c r="BK44" s="44">
        <v>7</v>
      </c>
      <c r="BL44" s="950" t="b">
        <f t="shared" si="3"/>
        <v>0</v>
      </c>
      <c r="BO44" s="950"/>
    </row>
    <row r="45" spans="1:67" s="44" customFormat="1" ht="15.75" thickBot="1" x14ac:dyDescent="0.3">
      <c r="A45" s="1378"/>
      <c r="B45" s="1340"/>
      <c r="C45" s="63" t="s">
        <v>496</v>
      </c>
      <c r="D45" s="58">
        <v>4</v>
      </c>
      <c r="E45" s="110" t="s">
        <v>530</v>
      </c>
      <c r="F45" s="58">
        <f t="shared" si="1"/>
        <v>0</v>
      </c>
      <c r="G45" s="453"/>
      <c r="H45" s="454"/>
      <c r="I45" s="454"/>
      <c r="J45" s="454"/>
      <c r="K45" s="455"/>
      <c r="L45" s="492"/>
      <c r="M45" s="133">
        <f>IF(VLOOKUP(M$2,'TIS Site Config'!$A$4:$AQ$51,3,FALSE)&lt;&gt;"Soft",
    IF(VLOOKUP(M$2,'TIS Site Config'!$A$3:$AQ$51,6,FALSE)="Extreme Heated",
   IF(OR(VLOOKUP(M$2,'TIS Site Config'!$A$3:$AQ$51,24,FALSE)="AB",
                VLOOKUP(M$2,'TIS Site Config'!$A$3:$AQ$51,24,FALSE)="BC",
                VLOOKUP(M$2,'TIS Site Config'!$A$3:$AQ$51,24,FALSE)="CD",
                VLOOKUP(M$2,'TIS Site Config'!$A$3:$AQ$51,24,FALSE)="DA"),
                         1,0)+
  IF(AND(VLOOKUP(M$2,'TIS Site Config'!$A$3:$AQ$51,22,FALSE)="Split",
                OR(VLOOKUP(M$2,'TIS Site Config'!$A$3:$AQ$51,25,FALSE)="AB",
                VLOOKUP(M$2,'TIS Site Config'!$A$3:$AQ$51,25,FALSE)="BC",
                VLOOKUP(M$2,'TIS Site Config'!$A$3:$AQ$51,25,FALSE)="CD",
                VLOOKUP(M$2,'TIS Site Config'!$A$3:$AQ$51,25,FALSE)="DA")),
                         1,0),
0),0)</f>
        <v>0</v>
      </c>
      <c r="N45" s="207">
        <f>IF(VLOOKUP(N$2,'TIS Site Config'!$A$4:$AQ$51,3,FALSE)&lt;&gt;"Soft",
    IF(VLOOKUP(N$2,'TIS Site Config'!$A$3:$AQ$51,6,FALSE)="Extreme Heated",
   IF(OR(VLOOKUP(N$2,'TIS Site Config'!$A$3:$AQ$51,24,FALSE)="AB",
                VLOOKUP(N$2,'TIS Site Config'!$A$3:$AQ$51,24,FALSE)="BC",
                VLOOKUP(N$2,'TIS Site Config'!$A$3:$AQ$51,24,FALSE)="CD",
                VLOOKUP(N$2,'TIS Site Config'!$A$3:$AQ$51,24,FALSE)="DA"),
                         1,0)+
  IF(AND(VLOOKUP(N$2,'TIS Site Config'!$A$3:$AQ$51,22,FALSE)="Split",
                OR(VLOOKUP(N$2,'TIS Site Config'!$A$3:$AQ$51,25,FALSE)="AB",
                VLOOKUP(N$2,'TIS Site Config'!$A$3:$AQ$51,25,FALSE)="BC",
                VLOOKUP(N$2,'TIS Site Config'!$A$3:$AQ$51,25,FALSE)="CD",
                VLOOKUP(N$2,'TIS Site Config'!$A$3:$AQ$51,25,FALSE)="DA")),
                         1,0),
0),0)</f>
        <v>0</v>
      </c>
      <c r="O45" s="211">
        <f>IF(VLOOKUP(O$2,'TIS Site Config'!$A$4:$AQ$51,3,FALSE)&lt;&gt;"Soft",
    IF(VLOOKUP(O$2,'TIS Site Config'!$A$3:$AQ$51,6,FALSE)="Extreme Heated",
   IF(OR(VLOOKUP(O$2,'TIS Site Config'!$A$3:$AQ$51,24,FALSE)="AB",
                VLOOKUP(O$2,'TIS Site Config'!$A$3:$AQ$51,24,FALSE)="BC",
                VLOOKUP(O$2,'TIS Site Config'!$A$3:$AQ$51,24,FALSE)="CD",
                VLOOKUP(O$2,'TIS Site Config'!$A$3:$AQ$51,24,FALSE)="DA"),
                         1,0)+
  IF(AND(VLOOKUP(O$2,'TIS Site Config'!$A$3:$AQ$51,22,FALSE)="Split",
                OR(VLOOKUP(O$2,'TIS Site Config'!$A$3:$AQ$51,25,FALSE)="AB",
                VLOOKUP(O$2,'TIS Site Config'!$A$3:$AQ$51,25,FALSE)="BC",
                VLOOKUP(O$2,'TIS Site Config'!$A$3:$AQ$51,25,FALSE)="CD",
                VLOOKUP(O$2,'TIS Site Config'!$A$3:$AQ$51,25,FALSE)="DA")),
                         1,0),
0),0)</f>
        <v>0</v>
      </c>
      <c r="P45" s="206">
        <f>IF(VLOOKUP(P$2,'TIS Site Config'!$A$4:$AQ$51,3,FALSE)&lt;&gt;"Soft",
    IF(VLOOKUP(P$2,'TIS Site Config'!$A$3:$AQ$51,6,FALSE)="Extreme Heated",
   IF(OR(VLOOKUP(P$2,'TIS Site Config'!$A$3:$AQ$51,24,FALSE)="AB",
                VLOOKUP(P$2,'TIS Site Config'!$A$3:$AQ$51,24,FALSE)="BC",
                VLOOKUP(P$2,'TIS Site Config'!$A$3:$AQ$51,24,FALSE)="CD",
                VLOOKUP(P$2,'TIS Site Config'!$A$3:$AQ$51,24,FALSE)="DA"),
                         1,0)+
  IF(AND(VLOOKUP(P$2,'TIS Site Config'!$A$3:$AQ$51,22,FALSE)="Split",
                OR(VLOOKUP(P$2,'TIS Site Config'!$A$3:$AQ$51,25,FALSE)="AB",
                VLOOKUP(P$2,'TIS Site Config'!$A$3:$AQ$51,25,FALSE)="BC",
                VLOOKUP(P$2,'TIS Site Config'!$A$3:$AQ$51,25,FALSE)="CD",
                VLOOKUP(P$2,'TIS Site Config'!$A$3:$AQ$51,25,FALSE)="DA")),
                         1,0),
0),0)</f>
        <v>0</v>
      </c>
      <c r="Q45" s="207">
        <f>IF(VLOOKUP(Q$2,'TIS Site Config'!$A$4:$AQ$51,3,FALSE)&lt;&gt;"Soft",
    IF(VLOOKUP(Q$2,'TIS Site Config'!$A$3:$AQ$51,6,FALSE)="Extreme Heated",
   IF(OR(VLOOKUP(Q$2,'TIS Site Config'!$A$3:$AQ$51,24,FALSE)="AB",
                VLOOKUP(Q$2,'TIS Site Config'!$A$3:$AQ$51,24,FALSE)="BC",
                VLOOKUP(Q$2,'TIS Site Config'!$A$3:$AQ$51,24,FALSE)="CD",
                VLOOKUP(Q$2,'TIS Site Config'!$A$3:$AQ$51,24,FALSE)="DA"),
                         1,0)+
  IF(AND(VLOOKUP(Q$2,'TIS Site Config'!$A$3:$AQ$51,22,FALSE)="Split",
                OR(VLOOKUP(Q$2,'TIS Site Config'!$A$3:$AQ$51,25,FALSE)="AB",
                VLOOKUP(Q$2,'TIS Site Config'!$A$3:$AQ$51,25,FALSE)="BC",
                VLOOKUP(Q$2,'TIS Site Config'!$A$3:$AQ$51,25,FALSE)="CD",
                VLOOKUP(Q$2,'TIS Site Config'!$A$3:$AQ$51,25,FALSE)="DA")),
                         1,0),
0),0)</f>
        <v>0</v>
      </c>
      <c r="R45" s="133">
        <f>IF(VLOOKUP(R$2,'TIS Site Config'!$A$4:$AQ$51,3,FALSE)&lt;&gt;"Soft",
    IF(VLOOKUP(R$2,'TIS Site Config'!$A$3:$AQ$51,6,FALSE)="Extreme Heated",
   IF(OR(VLOOKUP(R$2,'TIS Site Config'!$A$3:$AQ$51,24,FALSE)="AB",
                VLOOKUP(R$2,'TIS Site Config'!$A$3:$AQ$51,24,FALSE)="BC",
                VLOOKUP(R$2,'TIS Site Config'!$A$3:$AQ$51,24,FALSE)="CD",
                VLOOKUP(R$2,'TIS Site Config'!$A$3:$AQ$51,24,FALSE)="DA"),
                         1,0)+
  IF(AND(VLOOKUP(R$2,'TIS Site Config'!$A$3:$AQ$51,22,FALSE)="Split",
                OR(VLOOKUP(R$2,'TIS Site Config'!$A$3:$AQ$51,25,FALSE)="AB",
                VLOOKUP(R$2,'TIS Site Config'!$A$3:$AQ$51,25,FALSE)="BC",
                VLOOKUP(R$2,'TIS Site Config'!$A$3:$AQ$51,25,FALSE)="CD",
                VLOOKUP(R$2,'TIS Site Config'!$A$3:$AQ$51,25,FALSE)="DA")),
                         1,0),
0),0)</f>
        <v>0</v>
      </c>
      <c r="S45" s="206">
        <f>IF(VLOOKUP(S$2,'TIS Site Config'!$A$4:$AQ$51,3,FALSE)&lt;&gt;"Soft",
    IF(VLOOKUP(S$2,'TIS Site Config'!$A$3:$AQ$51,6,FALSE)="Extreme Heated",
   IF(OR(VLOOKUP(S$2,'TIS Site Config'!$A$3:$AQ$51,24,FALSE)="AB",
                VLOOKUP(S$2,'TIS Site Config'!$A$3:$AQ$51,24,FALSE)="BC",
                VLOOKUP(S$2,'TIS Site Config'!$A$3:$AQ$51,24,FALSE)="CD",
                VLOOKUP(S$2,'TIS Site Config'!$A$3:$AQ$51,24,FALSE)="DA"),
                         1,0)+
  IF(AND(VLOOKUP(S$2,'TIS Site Config'!$A$3:$AQ$51,22,FALSE)="Split",
                OR(VLOOKUP(S$2,'TIS Site Config'!$A$3:$AQ$51,25,FALSE)="AB",
                VLOOKUP(S$2,'TIS Site Config'!$A$3:$AQ$51,25,FALSE)="BC",
                VLOOKUP(S$2,'TIS Site Config'!$A$3:$AQ$51,25,FALSE)="CD",
                VLOOKUP(S$2,'TIS Site Config'!$A$3:$AQ$51,25,FALSE)="DA")),
                         1,0),
0),0)</f>
        <v>0</v>
      </c>
      <c r="T45" s="207">
        <f>IF(VLOOKUP(T$2,'TIS Site Config'!$A$4:$AQ$51,3,FALSE)&lt;&gt;"Soft",
    IF(VLOOKUP(T$2,'TIS Site Config'!$A$3:$AQ$51,6,FALSE)="Extreme Heated",
   IF(OR(VLOOKUP(T$2,'TIS Site Config'!$A$3:$AQ$51,24,FALSE)="AB",
                VLOOKUP(T$2,'TIS Site Config'!$A$3:$AQ$51,24,FALSE)="BC",
                VLOOKUP(T$2,'TIS Site Config'!$A$3:$AQ$51,24,FALSE)="CD",
                VLOOKUP(T$2,'TIS Site Config'!$A$3:$AQ$51,24,FALSE)="DA"),
                         1,0)+
  IF(AND(VLOOKUP(T$2,'TIS Site Config'!$A$3:$AQ$51,22,FALSE)="Split",
                OR(VLOOKUP(T$2,'TIS Site Config'!$A$3:$AQ$51,25,FALSE)="AB",
                VLOOKUP(T$2,'TIS Site Config'!$A$3:$AQ$51,25,FALSE)="BC",
                VLOOKUP(T$2,'TIS Site Config'!$A$3:$AQ$51,25,FALSE)="CD",
                VLOOKUP(T$2,'TIS Site Config'!$A$3:$AQ$51,25,FALSE)="DA")),
                         1,0),
0),0)</f>
        <v>0</v>
      </c>
      <c r="U45" s="133">
        <f>IF(VLOOKUP(U$2,'TIS Site Config'!$A$4:$AQ$51,3,FALSE)&lt;&gt;"Soft",
    IF(VLOOKUP(U$2,'TIS Site Config'!$A$3:$AQ$51,6,FALSE)="Extreme Heated",
   IF(OR(VLOOKUP(U$2,'TIS Site Config'!$A$3:$AQ$51,24,FALSE)="AB",
                VLOOKUP(U$2,'TIS Site Config'!$A$3:$AQ$51,24,FALSE)="BC",
                VLOOKUP(U$2,'TIS Site Config'!$A$3:$AQ$51,24,FALSE)="CD",
                VLOOKUP(U$2,'TIS Site Config'!$A$3:$AQ$51,24,FALSE)="DA"),
                         1,0)+
  IF(AND(VLOOKUP(U$2,'TIS Site Config'!$A$3:$AQ$51,22,FALSE)="Split",
                OR(VLOOKUP(U$2,'TIS Site Config'!$A$3:$AQ$51,25,FALSE)="AB",
                VLOOKUP(U$2,'TIS Site Config'!$A$3:$AQ$51,25,FALSE)="BC",
                VLOOKUP(U$2,'TIS Site Config'!$A$3:$AQ$51,25,FALSE)="CD",
                VLOOKUP(U$2,'TIS Site Config'!$A$3:$AQ$51,25,FALSE)="DA")),
                         1,0),
0),0)</f>
        <v>0</v>
      </c>
      <c r="V45" s="207">
        <f>IF(VLOOKUP(V$2,'TIS Site Config'!$A$4:$AQ$51,3,FALSE)&lt;&gt;"Soft",
    IF(VLOOKUP(V$2,'TIS Site Config'!$A$3:$AQ$51,6,FALSE)="Extreme Heated",
   IF(OR(VLOOKUP(V$2,'TIS Site Config'!$A$3:$AQ$51,24,FALSE)="AB",
                VLOOKUP(V$2,'TIS Site Config'!$A$3:$AQ$51,24,FALSE)="BC",
                VLOOKUP(V$2,'TIS Site Config'!$A$3:$AQ$51,24,FALSE)="CD",
                VLOOKUP(V$2,'TIS Site Config'!$A$3:$AQ$51,24,FALSE)="DA"),
                         1,0)+
  IF(AND(VLOOKUP(V$2,'TIS Site Config'!$A$3:$AQ$51,22,FALSE)="Split",
                OR(VLOOKUP(V$2,'TIS Site Config'!$A$3:$AQ$51,25,FALSE)="AB",
                VLOOKUP(V$2,'TIS Site Config'!$A$3:$AQ$51,25,FALSE)="BC",
                VLOOKUP(V$2,'TIS Site Config'!$A$3:$AQ$51,25,FALSE)="CD",
                VLOOKUP(V$2,'TIS Site Config'!$A$3:$AQ$51,25,FALSE)="DA")),
                         1,0),
0),0)</f>
        <v>0</v>
      </c>
      <c r="W45" s="210">
        <f>IF(VLOOKUP(W$2,'TIS Site Config'!$A$4:$AQ$51,3,FALSE)&lt;&gt;"Soft",
    IF(VLOOKUP(W$2,'TIS Site Config'!$A$3:$AQ$51,6,FALSE)="Extreme Heated",
   IF(OR(VLOOKUP(W$2,'TIS Site Config'!$A$3:$AQ$51,24,FALSE)="AB",
                VLOOKUP(W$2,'TIS Site Config'!$A$3:$AQ$51,24,FALSE)="BC",
                VLOOKUP(W$2,'TIS Site Config'!$A$3:$AQ$51,24,FALSE)="CD",
                VLOOKUP(W$2,'TIS Site Config'!$A$3:$AQ$51,24,FALSE)="DA"),
                         1,0)+
  IF(AND(VLOOKUP(W$2,'TIS Site Config'!$A$3:$AQ$51,22,FALSE)="Split",
                OR(VLOOKUP(W$2,'TIS Site Config'!$A$3:$AQ$51,25,FALSE)="AB",
                VLOOKUP(W$2,'TIS Site Config'!$A$3:$AQ$51,25,FALSE)="BC",
                VLOOKUP(W$2,'TIS Site Config'!$A$3:$AQ$51,25,FALSE)="CD",
                VLOOKUP(W$2,'TIS Site Config'!$A$3:$AQ$51,25,FALSE)="DA")),
                         1,0),
0),0)</f>
        <v>0</v>
      </c>
      <c r="X45" s="206">
        <f>IF(VLOOKUP(X$2,'TIS Site Config'!$A$4:$AQ$51,3,FALSE)&lt;&gt;"Soft",
    IF(VLOOKUP(X$2,'TIS Site Config'!$A$3:$AQ$51,6,FALSE)="Extreme Heated",
   IF(OR(VLOOKUP(X$2,'TIS Site Config'!$A$3:$AQ$51,24,FALSE)="AB",
                VLOOKUP(X$2,'TIS Site Config'!$A$3:$AQ$51,24,FALSE)="BC",
                VLOOKUP(X$2,'TIS Site Config'!$A$3:$AQ$51,24,FALSE)="CD",
                VLOOKUP(X$2,'TIS Site Config'!$A$3:$AQ$51,24,FALSE)="DA"),
                         1,0)+
  IF(AND(VLOOKUP(X$2,'TIS Site Config'!$A$3:$AQ$51,22,FALSE)="Split",
                OR(VLOOKUP(X$2,'TIS Site Config'!$A$3:$AQ$51,25,FALSE)="AB",
                VLOOKUP(X$2,'TIS Site Config'!$A$3:$AQ$51,25,FALSE)="BC",
                VLOOKUP(X$2,'TIS Site Config'!$A$3:$AQ$51,25,FALSE)="CD",
                VLOOKUP(X$2,'TIS Site Config'!$A$3:$AQ$51,25,FALSE)="DA")),
                         1,0),
0),0)</f>
        <v>0</v>
      </c>
      <c r="Y45" s="207">
        <f>IF(VLOOKUP(Y$2,'TIS Site Config'!$A$4:$AQ$51,3,FALSE)&lt;&gt;"Soft",
    IF(VLOOKUP(Y$2,'TIS Site Config'!$A$3:$AQ$51,6,FALSE)="Extreme Heated",
   IF(OR(VLOOKUP(Y$2,'TIS Site Config'!$A$3:$AQ$51,24,FALSE)="AB",
                VLOOKUP(Y$2,'TIS Site Config'!$A$3:$AQ$51,24,FALSE)="BC",
                VLOOKUP(Y$2,'TIS Site Config'!$A$3:$AQ$51,24,FALSE)="CD",
                VLOOKUP(Y$2,'TIS Site Config'!$A$3:$AQ$51,24,FALSE)="DA"),
                         1,0)+
  IF(AND(VLOOKUP(Y$2,'TIS Site Config'!$A$3:$AQ$51,22,FALSE)="Split",
                OR(VLOOKUP(Y$2,'TIS Site Config'!$A$3:$AQ$51,25,FALSE)="AB",
                VLOOKUP(Y$2,'TIS Site Config'!$A$3:$AQ$51,25,FALSE)="BC",
                VLOOKUP(Y$2,'TIS Site Config'!$A$3:$AQ$51,25,FALSE)="CD",
                VLOOKUP(Y$2,'TIS Site Config'!$A$3:$AQ$51,25,FALSE)="DA")),
                         1,0),
0),0)</f>
        <v>0</v>
      </c>
      <c r="Z45" s="133">
        <f>IF(VLOOKUP(Z$2,'TIS Site Config'!$A$4:$AQ$51,3,FALSE)&lt;&gt;"Soft",
    IF(VLOOKUP(Z$2,'TIS Site Config'!$A$3:$AQ$51,6,FALSE)="Extreme Heated",
   IF(OR(VLOOKUP(Z$2,'TIS Site Config'!$A$3:$AQ$51,24,FALSE)="AB",
                VLOOKUP(Z$2,'TIS Site Config'!$A$3:$AQ$51,24,FALSE)="BC",
                VLOOKUP(Z$2,'TIS Site Config'!$A$3:$AQ$51,24,FALSE)="CD",
                VLOOKUP(Z$2,'TIS Site Config'!$A$3:$AQ$51,24,FALSE)="DA"),
                         1,0)+
  IF(AND(VLOOKUP(Z$2,'TIS Site Config'!$A$3:$AQ$51,22,FALSE)="Split",
                OR(VLOOKUP(Z$2,'TIS Site Config'!$A$3:$AQ$51,25,FALSE)="AB",
                VLOOKUP(Z$2,'TIS Site Config'!$A$3:$AQ$51,25,FALSE)="BC",
                VLOOKUP(Z$2,'TIS Site Config'!$A$3:$AQ$51,25,FALSE)="CD",
                VLOOKUP(Z$2,'TIS Site Config'!$A$3:$AQ$51,25,FALSE)="DA")),
                         1,0),
0),0)</f>
        <v>0</v>
      </c>
      <c r="AA45" s="206">
        <f>IF(VLOOKUP(AA$2,'TIS Site Config'!$A$4:$AQ$51,3,FALSE)&lt;&gt;"Soft",
    IF(VLOOKUP(AA$2,'TIS Site Config'!$A$3:$AQ$51,6,FALSE)="Extreme Heated",
   IF(OR(VLOOKUP(AA$2,'TIS Site Config'!$A$3:$AQ$51,24,FALSE)="AB",
                VLOOKUP(AA$2,'TIS Site Config'!$A$3:$AQ$51,24,FALSE)="BC",
                VLOOKUP(AA$2,'TIS Site Config'!$A$3:$AQ$51,24,FALSE)="CD",
                VLOOKUP(AA$2,'TIS Site Config'!$A$3:$AQ$51,24,FALSE)="DA"),
                         1,0)+
  IF(AND(VLOOKUP(AA$2,'TIS Site Config'!$A$3:$AQ$51,22,FALSE)="Split",
                OR(VLOOKUP(AA$2,'TIS Site Config'!$A$3:$AQ$51,25,FALSE)="AB",
                VLOOKUP(AA$2,'TIS Site Config'!$A$3:$AQ$51,25,FALSE)="BC",
                VLOOKUP(AA$2,'TIS Site Config'!$A$3:$AQ$51,25,FALSE)="CD",
                VLOOKUP(AA$2,'TIS Site Config'!$A$3:$AQ$51,25,FALSE)="DA")),
                         1,0),
0),0)</f>
        <v>0</v>
      </c>
      <c r="AB45" s="207">
        <f>IF(VLOOKUP(AB$2,'TIS Site Config'!$A$4:$AQ$51,3,FALSE)&lt;&gt;"Soft",
    IF(VLOOKUP(AB$2,'TIS Site Config'!$A$3:$AQ$51,6,FALSE)="Extreme Heated",
   IF(OR(VLOOKUP(AB$2,'TIS Site Config'!$A$3:$AQ$51,24,FALSE)="AB",
                VLOOKUP(AB$2,'TIS Site Config'!$A$3:$AQ$51,24,FALSE)="BC",
                VLOOKUP(AB$2,'TIS Site Config'!$A$3:$AQ$51,24,FALSE)="CD",
                VLOOKUP(AB$2,'TIS Site Config'!$A$3:$AQ$51,24,FALSE)="DA"),
                         1,0)+
  IF(AND(VLOOKUP(AB$2,'TIS Site Config'!$A$3:$AQ$51,22,FALSE)="Split",
                OR(VLOOKUP(AB$2,'TIS Site Config'!$A$3:$AQ$51,25,FALSE)="AB",
                VLOOKUP(AB$2,'TIS Site Config'!$A$3:$AQ$51,25,FALSE)="BC",
                VLOOKUP(AB$2,'TIS Site Config'!$A$3:$AQ$51,25,FALSE)="CD",
                VLOOKUP(AB$2,'TIS Site Config'!$A$3:$AQ$51,25,FALSE)="DA")),
                         1,0),
0),0)</f>
        <v>0</v>
      </c>
      <c r="AC45" s="206">
        <f>IF(VLOOKUP(AC$2,'TIS Site Config'!$A$4:$AQ$51,3,FALSE)&lt;&gt;"Soft",
    IF(VLOOKUP(AC$2,'TIS Site Config'!$A$3:$AQ$51,6,FALSE)="Extreme Heated",
   IF(OR(VLOOKUP(AC$2,'TIS Site Config'!$A$3:$AQ$51,24,FALSE)="AB",
                VLOOKUP(AC$2,'TIS Site Config'!$A$3:$AQ$51,24,FALSE)="BC",
                VLOOKUP(AC$2,'TIS Site Config'!$A$3:$AQ$51,24,FALSE)="CD",
                VLOOKUP(AC$2,'TIS Site Config'!$A$3:$AQ$51,24,FALSE)="DA"),
                         1,0)+
  IF(AND(VLOOKUP(AC$2,'TIS Site Config'!$A$3:$AQ$51,22,FALSE)="Split",
                OR(VLOOKUP(AC$2,'TIS Site Config'!$A$3:$AQ$51,25,FALSE)="AB",
                VLOOKUP(AC$2,'TIS Site Config'!$A$3:$AQ$51,25,FALSE)="BC",
                VLOOKUP(AC$2,'TIS Site Config'!$A$3:$AQ$51,25,FALSE)="CD",
                VLOOKUP(AC$2,'TIS Site Config'!$A$3:$AQ$51,25,FALSE)="DA")),
                         1,0),
0),0)</f>
        <v>0</v>
      </c>
      <c r="AD45" s="208">
        <f>IF(VLOOKUP(AD$2,'TIS Site Config'!$A$4:$AQ$51,3,FALSE)&lt;&gt;"Soft",
    IF(VLOOKUP(AD$2,'TIS Site Config'!$A$3:$AQ$51,6,FALSE)="Extreme Heated",
   IF(OR(VLOOKUP(AD$2,'TIS Site Config'!$A$3:$AQ$51,24,FALSE)="AB",
                VLOOKUP(AD$2,'TIS Site Config'!$A$3:$AQ$51,24,FALSE)="BC",
                VLOOKUP(AD$2,'TIS Site Config'!$A$3:$AQ$51,24,FALSE)="CD",
                VLOOKUP(AD$2,'TIS Site Config'!$A$3:$AQ$51,24,FALSE)="DA"),
                         1,0)+
  IF(AND(VLOOKUP(AD$2,'TIS Site Config'!$A$3:$AQ$51,22,FALSE)="Split",
                OR(VLOOKUP(AD$2,'TIS Site Config'!$A$3:$AQ$51,25,FALSE)="AB",
                VLOOKUP(AD$2,'TIS Site Config'!$A$3:$AQ$51,25,FALSE)="BC",
                VLOOKUP(AD$2,'TIS Site Config'!$A$3:$AQ$51,25,FALSE)="CD",
                VLOOKUP(AD$2,'TIS Site Config'!$A$3:$AQ$51,25,FALSE)="DA")),
                         1,0),
0),0)</f>
        <v>0</v>
      </c>
      <c r="AE45" s="208">
        <f>IF(VLOOKUP(AE$2,'TIS Site Config'!$A$4:$AQ$51,3,FALSE)&lt;&gt;"Soft",
    IF(VLOOKUP(AE$2,'TIS Site Config'!$A$3:$AQ$51,6,FALSE)="Extreme Heated",
   IF(OR(VLOOKUP(AE$2,'TIS Site Config'!$A$3:$AQ$51,24,FALSE)="AB",
                VLOOKUP(AE$2,'TIS Site Config'!$A$3:$AQ$51,24,FALSE)="BC",
                VLOOKUP(AE$2,'TIS Site Config'!$A$3:$AQ$51,24,FALSE)="CD",
                VLOOKUP(AE$2,'TIS Site Config'!$A$3:$AQ$51,24,FALSE)="DA"),
                         1,0)+
  IF(AND(VLOOKUP(AE$2,'TIS Site Config'!$A$3:$AQ$51,22,FALSE)="Split",
                OR(VLOOKUP(AE$2,'TIS Site Config'!$A$3:$AQ$51,25,FALSE)="AB",
                VLOOKUP(AE$2,'TIS Site Config'!$A$3:$AQ$51,25,FALSE)="BC",
                VLOOKUP(AE$2,'TIS Site Config'!$A$3:$AQ$51,25,FALSE)="CD",
                VLOOKUP(AE$2,'TIS Site Config'!$A$3:$AQ$51,25,FALSE)="DA")),
                         1,0),
0),0)</f>
        <v>0</v>
      </c>
      <c r="AF45" s="209">
        <f>IF(VLOOKUP(AF$2,'TIS Site Config'!$A$4:$AQ$51,3,FALSE)&lt;&gt;"Soft",
    IF(VLOOKUP(AF$2,'TIS Site Config'!$A$3:$AQ$51,6,FALSE)="Extreme Heated",
   IF(OR(VLOOKUP(AF$2,'TIS Site Config'!$A$3:$AQ$51,24,FALSE)="AB",
                VLOOKUP(AF$2,'TIS Site Config'!$A$3:$AQ$51,24,FALSE)="BC",
                VLOOKUP(AF$2,'TIS Site Config'!$A$3:$AQ$51,24,FALSE)="CD",
                VLOOKUP(AF$2,'TIS Site Config'!$A$3:$AQ$51,24,FALSE)="DA"),
                         1,0)+
  IF(AND(VLOOKUP(AF$2,'TIS Site Config'!$A$3:$AQ$51,22,FALSE)="Split",
                OR(VLOOKUP(AF$2,'TIS Site Config'!$A$3:$AQ$51,25,FALSE)="AB",
                VLOOKUP(AF$2,'TIS Site Config'!$A$3:$AQ$51,25,FALSE)="BC",
                VLOOKUP(AF$2,'TIS Site Config'!$A$3:$AQ$51,25,FALSE)="CD",
                VLOOKUP(AF$2,'TIS Site Config'!$A$3:$AQ$51,25,FALSE)="DA")),
                         1,0),
0),0)</f>
        <v>0</v>
      </c>
      <c r="AG45" s="206">
        <f>IF(VLOOKUP(AG$2,'TIS Site Config'!$A$4:$AQ$51,3,FALSE)&lt;&gt;"Soft",
    IF(VLOOKUP(AG$2,'TIS Site Config'!$A$3:$AQ$51,6,FALSE)="Extreme Heated",
   IF(OR(VLOOKUP(AG$2,'TIS Site Config'!$A$3:$AQ$51,24,FALSE)="AB",
                VLOOKUP(AG$2,'TIS Site Config'!$A$3:$AQ$51,24,FALSE)="BC",
                VLOOKUP(AG$2,'TIS Site Config'!$A$3:$AQ$51,24,FALSE)="CD",
                VLOOKUP(AG$2,'TIS Site Config'!$A$3:$AQ$51,24,FALSE)="DA"),
                         1,0)+
  IF(AND(VLOOKUP(AG$2,'TIS Site Config'!$A$3:$AQ$51,22,FALSE)="Split",
                OR(VLOOKUP(AG$2,'TIS Site Config'!$A$3:$AQ$51,25,FALSE)="AB",
                VLOOKUP(AG$2,'TIS Site Config'!$A$3:$AQ$51,25,FALSE)="BC",
                VLOOKUP(AG$2,'TIS Site Config'!$A$3:$AQ$51,25,FALSE)="CD",
                VLOOKUP(AG$2,'TIS Site Config'!$A$3:$AQ$51,25,FALSE)="DA")),
                         1,0),
0),0)</f>
        <v>0</v>
      </c>
      <c r="AH45" s="207">
        <f>IF(VLOOKUP(AH$2,'TIS Site Config'!$A$4:$AQ$51,3,FALSE)&lt;&gt;"Soft",
    IF(VLOOKUP(AH$2,'TIS Site Config'!$A$3:$AQ$51,6,FALSE)="Extreme Heated",
   IF(OR(VLOOKUP(AH$2,'TIS Site Config'!$A$3:$AQ$51,24,FALSE)="AB",
                VLOOKUP(AH$2,'TIS Site Config'!$A$3:$AQ$51,24,FALSE)="BC",
                VLOOKUP(AH$2,'TIS Site Config'!$A$3:$AQ$51,24,FALSE)="CD",
                VLOOKUP(AH$2,'TIS Site Config'!$A$3:$AQ$51,24,FALSE)="DA"),
                         1,0)+
  IF(AND(VLOOKUP(AH$2,'TIS Site Config'!$A$3:$AQ$51,22,FALSE)="Split",
                OR(VLOOKUP(AH$2,'TIS Site Config'!$A$3:$AQ$51,25,FALSE)="AB",
                VLOOKUP(AH$2,'TIS Site Config'!$A$3:$AQ$51,25,FALSE)="BC",
                VLOOKUP(AH$2,'TIS Site Config'!$A$3:$AQ$51,25,FALSE)="CD",
                VLOOKUP(AH$2,'TIS Site Config'!$A$3:$AQ$51,25,FALSE)="DA")),
                         1,0),
0),0)</f>
        <v>0</v>
      </c>
      <c r="AI45" s="133">
        <f>IF(VLOOKUP(AI$2,'TIS Site Config'!$A$4:$AQ$51,3,FALSE)&lt;&gt;"Soft",
    IF(VLOOKUP(AI$2,'TIS Site Config'!$A$3:$AQ$51,6,FALSE)="Extreme Heated",
   IF(OR(VLOOKUP(AI$2,'TIS Site Config'!$A$3:$AQ$51,24,FALSE)="AB",
                VLOOKUP(AI$2,'TIS Site Config'!$A$3:$AQ$51,24,FALSE)="BC",
                VLOOKUP(AI$2,'TIS Site Config'!$A$3:$AQ$51,24,FALSE)="CD",
                VLOOKUP(AI$2,'TIS Site Config'!$A$3:$AQ$51,24,FALSE)="DA"),
                         1,0)+
  IF(AND(VLOOKUP(AI$2,'TIS Site Config'!$A$3:$AQ$51,22,FALSE)="Split",
                OR(VLOOKUP(AI$2,'TIS Site Config'!$A$3:$AQ$51,25,FALSE)="AB",
                VLOOKUP(AI$2,'TIS Site Config'!$A$3:$AQ$51,25,FALSE)="BC",
                VLOOKUP(AI$2,'TIS Site Config'!$A$3:$AQ$51,25,FALSE)="CD",
                VLOOKUP(AI$2,'TIS Site Config'!$A$3:$AQ$51,25,FALSE)="DA")),
                         1,0),
0),0)</f>
        <v>0</v>
      </c>
      <c r="AJ45" s="206">
        <f>IF(VLOOKUP(AJ$2,'TIS Site Config'!$A$4:$AQ$51,3,FALSE)&lt;&gt;"Soft",
    IF(VLOOKUP(AJ$2,'TIS Site Config'!$A$3:$AQ$51,6,FALSE)="Extreme Heated",
   IF(OR(VLOOKUP(AJ$2,'TIS Site Config'!$A$3:$AQ$51,24,FALSE)="AB",
                VLOOKUP(AJ$2,'TIS Site Config'!$A$3:$AQ$51,24,FALSE)="BC",
                VLOOKUP(AJ$2,'TIS Site Config'!$A$3:$AQ$51,24,FALSE)="CD",
                VLOOKUP(AJ$2,'TIS Site Config'!$A$3:$AQ$51,24,FALSE)="DA"),
                         1,0)+
  IF(AND(VLOOKUP(AJ$2,'TIS Site Config'!$A$3:$AQ$51,22,FALSE)="Split",
                OR(VLOOKUP(AJ$2,'TIS Site Config'!$A$3:$AQ$51,25,FALSE)="AB",
                VLOOKUP(AJ$2,'TIS Site Config'!$A$3:$AQ$51,25,FALSE)="BC",
                VLOOKUP(AJ$2,'TIS Site Config'!$A$3:$AQ$51,25,FALSE)="CD",
                VLOOKUP(AJ$2,'TIS Site Config'!$A$3:$AQ$51,25,FALSE)="DA")),
                         1,0),
0),0)</f>
        <v>0</v>
      </c>
      <c r="AK45" s="207">
        <f>IF(VLOOKUP(AK$2,'TIS Site Config'!$A$4:$AQ$51,3,FALSE)&lt;&gt;"Soft",
    IF(VLOOKUP(AK$2,'TIS Site Config'!$A$3:$AQ$51,6,FALSE)="Extreme Heated",
   IF(OR(VLOOKUP(AK$2,'TIS Site Config'!$A$3:$AQ$51,24,FALSE)="AB",
                VLOOKUP(AK$2,'TIS Site Config'!$A$3:$AQ$51,24,FALSE)="BC",
                VLOOKUP(AK$2,'TIS Site Config'!$A$3:$AQ$51,24,FALSE)="CD",
                VLOOKUP(AK$2,'TIS Site Config'!$A$3:$AQ$51,24,FALSE)="DA"),
                         1,0)+
  IF(AND(VLOOKUP(AK$2,'TIS Site Config'!$A$3:$AQ$51,22,FALSE)="Split",
                OR(VLOOKUP(AK$2,'TIS Site Config'!$A$3:$AQ$51,25,FALSE)="AB",
                VLOOKUP(AK$2,'TIS Site Config'!$A$3:$AQ$51,25,FALSE)="BC",
                VLOOKUP(AK$2,'TIS Site Config'!$A$3:$AQ$51,25,FALSE)="CD",
                VLOOKUP(AK$2,'TIS Site Config'!$A$3:$AQ$51,25,FALSE)="DA")),
                         1,0),
0),0)</f>
        <v>0</v>
      </c>
      <c r="AL45" s="133">
        <f>IF(VLOOKUP(AL$2,'TIS Site Config'!$A$4:$AQ$51,3,FALSE)&lt;&gt;"Soft",
    IF(VLOOKUP(AL$2,'TIS Site Config'!$A$3:$AQ$51,6,FALSE)="Extreme Heated",
   IF(OR(VLOOKUP(AL$2,'TIS Site Config'!$A$3:$AQ$51,24,FALSE)="AB",
                VLOOKUP(AL$2,'TIS Site Config'!$A$3:$AQ$51,24,FALSE)="BC",
                VLOOKUP(AL$2,'TIS Site Config'!$A$3:$AQ$51,24,FALSE)="CD",
                VLOOKUP(AL$2,'TIS Site Config'!$A$3:$AQ$51,24,FALSE)="DA"),
                         1,0)+
  IF(AND(VLOOKUP(AL$2,'TIS Site Config'!$A$3:$AQ$51,22,FALSE)="Split",
                OR(VLOOKUP(AL$2,'TIS Site Config'!$A$3:$AQ$51,25,FALSE)="AB",
                VLOOKUP(AL$2,'TIS Site Config'!$A$3:$AQ$51,25,FALSE)="BC",
                VLOOKUP(AL$2,'TIS Site Config'!$A$3:$AQ$51,25,FALSE)="CD",
                VLOOKUP(AL$2,'TIS Site Config'!$A$3:$AQ$51,25,FALSE)="DA")),
                         1,0),
0),0)</f>
        <v>0</v>
      </c>
      <c r="AM45" s="206">
        <f>IF(VLOOKUP(AM$2,'TIS Site Config'!$A$4:$AQ$51,3,FALSE)&lt;&gt;"Soft",
    IF(VLOOKUP(AM$2,'TIS Site Config'!$A$3:$AQ$51,6,FALSE)="Extreme Heated",
   IF(OR(VLOOKUP(AM$2,'TIS Site Config'!$A$3:$AQ$51,24,FALSE)="AB",
                VLOOKUP(AM$2,'TIS Site Config'!$A$3:$AQ$51,24,FALSE)="BC",
                VLOOKUP(AM$2,'TIS Site Config'!$A$3:$AQ$51,24,FALSE)="CD",
                VLOOKUP(AM$2,'TIS Site Config'!$A$3:$AQ$51,24,FALSE)="DA"),
                         1,0)+
  IF(AND(VLOOKUP(AM$2,'TIS Site Config'!$A$3:$AQ$51,22,FALSE)="Split",
                OR(VLOOKUP(AM$2,'TIS Site Config'!$A$3:$AQ$51,25,FALSE)="AB",
                VLOOKUP(AM$2,'TIS Site Config'!$A$3:$AQ$51,25,FALSE)="BC",
                VLOOKUP(AM$2,'TIS Site Config'!$A$3:$AQ$51,25,FALSE)="CD",
                VLOOKUP(AM$2,'TIS Site Config'!$A$3:$AQ$51,25,FALSE)="DA")),
                         1,0),
0),0)</f>
        <v>0</v>
      </c>
      <c r="AN45" s="207">
        <f>IF(VLOOKUP(AN$2,'TIS Site Config'!$A$4:$AQ$51,3,FALSE)&lt;&gt;"Soft",
    IF(VLOOKUP(AN$2,'TIS Site Config'!$A$3:$AQ$51,6,FALSE)="Extreme Heated",
   IF(OR(VLOOKUP(AN$2,'TIS Site Config'!$A$3:$AQ$51,24,FALSE)="AB",
                VLOOKUP(AN$2,'TIS Site Config'!$A$3:$AQ$51,24,FALSE)="BC",
                VLOOKUP(AN$2,'TIS Site Config'!$A$3:$AQ$51,24,FALSE)="CD",
                VLOOKUP(AN$2,'TIS Site Config'!$A$3:$AQ$51,24,FALSE)="DA"),
                         1,0)+
  IF(AND(VLOOKUP(AN$2,'TIS Site Config'!$A$3:$AQ$51,22,FALSE)="Split",
                OR(VLOOKUP(AN$2,'TIS Site Config'!$A$3:$AQ$51,25,FALSE)="AB",
                VLOOKUP(AN$2,'TIS Site Config'!$A$3:$AQ$51,25,FALSE)="BC",
                VLOOKUP(AN$2,'TIS Site Config'!$A$3:$AQ$51,25,FALSE)="CD",
                VLOOKUP(AN$2,'TIS Site Config'!$A$3:$AQ$51,25,FALSE)="DA")),
                         1,0),
0),0)</f>
        <v>0</v>
      </c>
      <c r="AO45" s="133">
        <f>IF(VLOOKUP(AO$2,'TIS Site Config'!$A$4:$AQ$51,3,FALSE)&lt;&gt;"Soft",
    IF(VLOOKUP(AO$2,'TIS Site Config'!$A$3:$AQ$51,6,FALSE)="Extreme Heated",
   IF(OR(VLOOKUP(AO$2,'TIS Site Config'!$A$3:$AQ$51,24,FALSE)="AB",
                VLOOKUP(AO$2,'TIS Site Config'!$A$3:$AQ$51,24,FALSE)="BC",
                VLOOKUP(AO$2,'TIS Site Config'!$A$3:$AQ$51,24,FALSE)="CD",
                VLOOKUP(AO$2,'TIS Site Config'!$A$3:$AQ$51,24,FALSE)="DA"),
                         1,0)+
  IF(AND(VLOOKUP(AO$2,'TIS Site Config'!$A$3:$AQ$51,22,FALSE)="Split",
                OR(VLOOKUP(AO$2,'TIS Site Config'!$A$3:$AQ$51,25,FALSE)="AB",
                VLOOKUP(AO$2,'TIS Site Config'!$A$3:$AQ$51,25,FALSE)="BC",
                VLOOKUP(AO$2,'TIS Site Config'!$A$3:$AQ$51,25,FALSE)="CD",
                VLOOKUP(AO$2,'TIS Site Config'!$A$3:$AQ$51,25,FALSE)="DA")),
                         1,0),
0),0)</f>
        <v>0</v>
      </c>
      <c r="AP45" s="206">
        <f>IF(VLOOKUP(AP$2,'TIS Site Config'!$A$4:$AQ$51,3,FALSE)&lt;&gt;"Soft",
    IF(VLOOKUP(AP$2,'TIS Site Config'!$A$3:$AQ$51,6,FALSE)="Extreme Heated",
   IF(OR(VLOOKUP(AP$2,'TIS Site Config'!$A$3:$AQ$51,24,FALSE)="AB",
                VLOOKUP(AP$2,'TIS Site Config'!$A$3:$AQ$51,24,FALSE)="BC",
                VLOOKUP(AP$2,'TIS Site Config'!$A$3:$AQ$51,24,FALSE)="CD",
                VLOOKUP(AP$2,'TIS Site Config'!$A$3:$AQ$51,24,FALSE)="DA"),
                         1,0)+
  IF(AND(VLOOKUP(AP$2,'TIS Site Config'!$A$3:$AQ$51,22,FALSE)="Split",
                OR(VLOOKUP(AP$2,'TIS Site Config'!$A$3:$AQ$51,25,FALSE)="AB",
                VLOOKUP(AP$2,'TIS Site Config'!$A$3:$AQ$51,25,FALSE)="BC",
                VLOOKUP(AP$2,'TIS Site Config'!$A$3:$AQ$51,25,FALSE)="CD",
                VLOOKUP(AP$2,'TIS Site Config'!$A$3:$AQ$51,25,FALSE)="DA")),
                         1,0),
0),0)</f>
        <v>0</v>
      </c>
      <c r="AQ45" s="133">
        <f>IF(VLOOKUP(AQ$2,'TIS Site Config'!$A$4:$AQ$51,3,FALSE)&lt;&gt;"Soft",
    IF(VLOOKUP(AQ$2,'TIS Site Config'!$A$3:$AQ$51,6,FALSE)="Extreme Heated",
   IF(OR(VLOOKUP(AQ$2,'TIS Site Config'!$A$3:$AQ$51,24,FALSE)="AB",
                VLOOKUP(AQ$2,'TIS Site Config'!$A$3:$AQ$51,24,FALSE)="BC",
                VLOOKUP(AQ$2,'TIS Site Config'!$A$3:$AQ$51,24,FALSE)="CD",
                VLOOKUP(AQ$2,'TIS Site Config'!$A$3:$AQ$51,24,FALSE)="DA"),
                         1,0)+
  IF(AND(VLOOKUP(AQ$2,'TIS Site Config'!$A$3:$AQ$51,22,FALSE)="Split",
                OR(VLOOKUP(AQ$2,'TIS Site Config'!$A$3:$AQ$51,25,FALSE)="AB",
                VLOOKUP(AQ$2,'TIS Site Config'!$A$3:$AQ$51,25,FALSE)="BC",
                VLOOKUP(AQ$2,'TIS Site Config'!$A$3:$AQ$51,25,FALSE)="CD",
                VLOOKUP(AQ$2,'TIS Site Config'!$A$3:$AQ$51,25,FALSE)="DA")),
                         1,0),
0),0)</f>
        <v>0</v>
      </c>
      <c r="AR45" s="133">
        <f>IF(VLOOKUP(AR$2,'TIS Site Config'!$A$4:$AQ$51,3,FALSE)&lt;&gt;"Soft",
    IF(VLOOKUP(AR$2,'TIS Site Config'!$A$3:$AQ$51,6,FALSE)="Extreme Heated",
   IF(OR(VLOOKUP(AR$2,'TIS Site Config'!$A$3:$AQ$51,24,FALSE)="AB",
                VLOOKUP(AR$2,'TIS Site Config'!$A$3:$AQ$51,24,FALSE)="BC",
                VLOOKUP(AR$2,'TIS Site Config'!$A$3:$AQ$51,24,FALSE)="CD",
                VLOOKUP(AR$2,'TIS Site Config'!$A$3:$AQ$51,24,FALSE)="DA"),
                         1,0)+
  IF(AND(VLOOKUP(AR$2,'TIS Site Config'!$A$3:$AQ$51,22,FALSE)="Split",
                OR(VLOOKUP(AR$2,'TIS Site Config'!$A$3:$AQ$51,25,FALSE)="AB",
                VLOOKUP(AR$2,'TIS Site Config'!$A$3:$AQ$51,25,FALSE)="BC",
                VLOOKUP(AR$2,'TIS Site Config'!$A$3:$AQ$51,25,FALSE)="CD",
                VLOOKUP(AR$2,'TIS Site Config'!$A$3:$AQ$51,25,FALSE)="DA")),
                         1,0),
0),0)</f>
        <v>0</v>
      </c>
      <c r="AS45" s="206">
        <f>IF(VLOOKUP(AS$2,'TIS Site Config'!$A$4:$AQ$51,3,FALSE)&lt;&gt;"Soft",
    IF(VLOOKUP(AS$2,'TIS Site Config'!$A$3:$AQ$51,6,FALSE)="Extreme Heated",
   IF(OR(VLOOKUP(AS$2,'TIS Site Config'!$A$3:$AQ$51,24,FALSE)="AB",
                VLOOKUP(AS$2,'TIS Site Config'!$A$3:$AQ$51,24,FALSE)="BC",
                VLOOKUP(AS$2,'TIS Site Config'!$A$3:$AQ$51,24,FALSE)="CD",
                VLOOKUP(AS$2,'TIS Site Config'!$A$3:$AQ$51,24,FALSE)="DA"),
                         1,0)+
  IF(AND(VLOOKUP(AS$2,'TIS Site Config'!$A$3:$AQ$51,22,FALSE)="Split",
                OR(VLOOKUP(AS$2,'TIS Site Config'!$A$3:$AQ$51,25,FALSE)="AB",
                VLOOKUP(AS$2,'TIS Site Config'!$A$3:$AQ$51,25,FALSE)="BC",
                VLOOKUP(AS$2,'TIS Site Config'!$A$3:$AQ$51,25,FALSE)="CD",
                VLOOKUP(AS$2,'TIS Site Config'!$A$3:$AQ$51,25,FALSE)="DA")),
                         1,0),
0),0)</f>
        <v>0</v>
      </c>
      <c r="AT45" s="133">
        <f>IF(VLOOKUP(AT$2,'TIS Site Config'!$A$4:$AQ$51,3,FALSE)&lt;&gt;"Soft",
    IF(VLOOKUP(AT$2,'TIS Site Config'!$A$3:$AQ$51,6,FALSE)="Extreme Heated",
   IF(OR(VLOOKUP(AT$2,'TIS Site Config'!$A$3:$AQ$51,24,FALSE)="AB",
                VLOOKUP(AT$2,'TIS Site Config'!$A$3:$AQ$51,24,FALSE)="BC",
                VLOOKUP(AT$2,'TIS Site Config'!$A$3:$AQ$51,24,FALSE)="CD",
                VLOOKUP(AT$2,'TIS Site Config'!$A$3:$AQ$51,24,FALSE)="DA"),
                         1,0)+
  IF(AND(VLOOKUP(AT$2,'TIS Site Config'!$A$3:$AQ$51,22,FALSE)="Split",
                OR(VLOOKUP(AT$2,'TIS Site Config'!$A$3:$AQ$51,25,FALSE)="AB",
                VLOOKUP(AT$2,'TIS Site Config'!$A$3:$AQ$51,25,FALSE)="BC",
                VLOOKUP(AT$2,'TIS Site Config'!$A$3:$AQ$51,25,FALSE)="CD",
                VLOOKUP(AT$2,'TIS Site Config'!$A$3:$AQ$51,25,FALSE)="DA")),
                         1,0),
0),0)</f>
        <v>0</v>
      </c>
      <c r="AU45" s="206">
        <f>IF(VLOOKUP(AU$2,'TIS Site Config'!$A$4:$AQ$51,3,FALSE)&lt;&gt;"Soft",
    IF(VLOOKUP(AU$2,'TIS Site Config'!$A$3:$AQ$51,6,FALSE)="Extreme Heated",
   IF(OR(VLOOKUP(AU$2,'TIS Site Config'!$A$3:$AQ$51,24,FALSE)="AB",
                VLOOKUP(AU$2,'TIS Site Config'!$A$3:$AQ$51,24,FALSE)="BC",
                VLOOKUP(AU$2,'TIS Site Config'!$A$3:$AQ$51,24,FALSE)="CD",
                VLOOKUP(AU$2,'TIS Site Config'!$A$3:$AQ$51,24,FALSE)="DA"),
                         1,0)+
  IF(AND(VLOOKUP(AU$2,'TIS Site Config'!$A$3:$AQ$51,22,FALSE)="Split",
                OR(VLOOKUP(AU$2,'TIS Site Config'!$A$3:$AQ$51,25,FALSE)="AB",
                VLOOKUP(AU$2,'TIS Site Config'!$A$3:$AQ$51,25,FALSE)="BC",
                VLOOKUP(AU$2,'TIS Site Config'!$A$3:$AQ$51,25,FALSE)="CD",
                VLOOKUP(AU$2,'TIS Site Config'!$A$3:$AQ$51,25,FALSE)="DA")),
                         1,0),
0),0)</f>
        <v>0</v>
      </c>
      <c r="AV45" s="133">
        <f>IF(VLOOKUP(AV$2,'TIS Site Config'!$A$4:$AQ$51,3,FALSE)&lt;&gt;"Soft",
    IF(VLOOKUP(AV$2,'TIS Site Config'!$A$3:$AQ$51,6,FALSE)="Extreme Heated",
   IF(OR(VLOOKUP(AV$2,'TIS Site Config'!$A$3:$AQ$51,24,FALSE)="AB",
                VLOOKUP(AV$2,'TIS Site Config'!$A$3:$AQ$51,24,FALSE)="BC",
                VLOOKUP(AV$2,'TIS Site Config'!$A$3:$AQ$51,24,FALSE)="CD",
                VLOOKUP(AV$2,'TIS Site Config'!$A$3:$AQ$51,24,FALSE)="DA"),
                         1,0)+
  IF(AND(VLOOKUP(AV$2,'TIS Site Config'!$A$3:$AQ$51,22,FALSE)="Split",
                OR(VLOOKUP(AV$2,'TIS Site Config'!$A$3:$AQ$51,25,FALSE)="AB",
                VLOOKUP(AV$2,'TIS Site Config'!$A$3:$AQ$51,25,FALSE)="BC",
                VLOOKUP(AV$2,'TIS Site Config'!$A$3:$AQ$51,25,FALSE)="CD",
                VLOOKUP(AV$2,'TIS Site Config'!$A$3:$AQ$51,25,FALSE)="DA")),
                         1,0),
0),0)</f>
        <v>0</v>
      </c>
      <c r="AW45" s="133">
        <f>IF(VLOOKUP(AW$2,'TIS Site Config'!$A$4:$AQ$51,3,FALSE)&lt;&gt;"Soft",
    IF(VLOOKUP(AW$2,'TIS Site Config'!$A$3:$AQ$51,6,FALSE)="Extreme Heated",
   IF(OR(VLOOKUP(AW$2,'TIS Site Config'!$A$3:$AQ$51,24,FALSE)="AB",
                VLOOKUP(AW$2,'TIS Site Config'!$A$3:$AQ$51,24,FALSE)="BC",
                VLOOKUP(AW$2,'TIS Site Config'!$A$3:$AQ$51,24,FALSE)="CD",
                VLOOKUP(AW$2,'TIS Site Config'!$A$3:$AQ$51,24,FALSE)="DA"),
                         1,0)+
  IF(AND(VLOOKUP(AW$2,'TIS Site Config'!$A$3:$AQ$51,22,FALSE)="Split",
                OR(VLOOKUP(AW$2,'TIS Site Config'!$A$3:$AQ$51,25,FALSE)="AB",
                VLOOKUP(AW$2,'TIS Site Config'!$A$3:$AQ$51,25,FALSE)="BC",
                VLOOKUP(AW$2,'TIS Site Config'!$A$3:$AQ$51,25,FALSE)="CD",
                VLOOKUP(AW$2,'TIS Site Config'!$A$3:$AQ$51,25,FALSE)="DA")),
                         1,0),
0),0)</f>
        <v>0</v>
      </c>
      <c r="AX45" s="207">
        <f>IF(VLOOKUP(AX$2,'TIS Site Config'!$A$4:$AQ$51,3,FALSE)&lt;&gt;"Soft",
    IF(VLOOKUP(AX$2,'TIS Site Config'!$A$3:$AQ$51,6,FALSE)="Extreme Heated",
   IF(OR(VLOOKUP(AX$2,'TIS Site Config'!$A$3:$AQ$51,24,FALSE)="AB",
                VLOOKUP(AX$2,'TIS Site Config'!$A$3:$AQ$51,24,FALSE)="BC",
                VLOOKUP(AX$2,'TIS Site Config'!$A$3:$AQ$51,24,FALSE)="CD",
                VLOOKUP(AX$2,'TIS Site Config'!$A$3:$AQ$51,24,FALSE)="DA"),
                         1,0)+
  IF(AND(VLOOKUP(AX$2,'TIS Site Config'!$A$3:$AQ$51,22,FALSE)="Split",
                OR(VLOOKUP(AX$2,'TIS Site Config'!$A$3:$AQ$51,25,FALSE)="AB",
                VLOOKUP(AX$2,'TIS Site Config'!$A$3:$AQ$51,25,FALSE)="BC",
                VLOOKUP(AX$2,'TIS Site Config'!$A$3:$AQ$51,25,FALSE)="CD",
                VLOOKUP(AX$2,'TIS Site Config'!$A$3:$AQ$51,25,FALSE)="DA")),
                         1,0),
0),0)</f>
        <v>0</v>
      </c>
      <c r="AY45" s="133">
        <f>IF(VLOOKUP(AY$2,'TIS Site Config'!$A$4:$AQ$51,3,FALSE)&lt;&gt;"Soft",
    IF(VLOOKUP(AY$2,'TIS Site Config'!$A$3:$AQ$51,6,FALSE)="Extreme Heated",
   IF(OR(VLOOKUP(AY$2,'TIS Site Config'!$A$3:$AQ$51,24,FALSE)="AB",
                VLOOKUP(AY$2,'TIS Site Config'!$A$3:$AQ$51,24,FALSE)="BC",
                VLOOKUP(AY$2,'TIS Site Config'!$A$3:$AQ$51,24,FALSE)="CD",
                VLOOKUP(AY$2,'TIS Site Config'!$A$3:$AQ$51,24,FALSE)="DA"),
                         1,0)+
  IF(AND(VLOOKUP(AY$2,'TIS Site Config'!$A$3:$AQ$51,22,FALSE)="Split",
                OR(VLOOKUP(AY$2,'TIS Site Config'!$A$3:$AQ$51,25,FALSE)="AB",
                VLOOKUP(AY$2,'TIS Site Config'!$A$3:$AQ$51,25,FALSE)="BC",
                VLOOKUP(AY$2,'TIS Site Config'!$A$3:$AQ$51,25,FALSE)="CD",
                VLOOKUP(AY$2,'TIS Site Config'!$A$3:$AQ$51,25,FALSE)="DA")),
                         1,0),
0),0)</f>
        <v>0</v>
      </c>
      <c r="AZ45" s="206">
        <f>IF(VLOOKUP(AZ$2,'TIS Site Config'!$A$4:$AQ$51,3,FALSE)&lt;&gt;"Soft",
    IF(VLOOKUP(AZ$2,'TIS Site Config'!$A$3:$AQ$51,6,FALSE)="Extreme Heated",
   IF(OR(VLOOKUP(AZ$2,'TIS Site Config'!$A$3:$AQ$51,24,FALSE)="AB",
                VLOOKUP(AZ$2,'TIS Site Config'!$A$3:$AQ$51,24,FALSE)="BC",
                VLOOKUP(AZ$2,'TIS Site Config'!$A$3:$AQ$51,24,FALSE)="CD",
                VLOOKUP(AZ$2,'TIS Site Config'!$A$3:$AQ$51,24,FALSE)="DA"),
                         1,0)+
  IF(AND(VLOOKUP(AZ$2,'TIS Site Config'!$A$3:$AQ$51,22,FALSE)="Split",
                OR(VLOOKUP(AZ$2,'TIS Site Config'!$A$3:$AQ$51,25,FALSE)="AB",
                VLOOKUP(AZ$2,'TIS Site Config'!$A$3:$AQ$51,25,FALSE)="BC",
                VLOOKUP(AZ$2,'TIS Site Config'!$A$3:$AQ$51,25,FALSE)="CD",
                VLOOKUP(AZ$2,'TIS Site Config'!$A$3:$AQ$51,25,FALSE)="DA")),
                         1,0),
0),0)</f>
        <v>0</v>
      </c>
      <c r="BA45" s="208">
        <f>IF(VLOOKUP(BA$2,'TIS Site Config'!$A$4:$AQ$51,3,FALSE)&lt;&gt;"Soft",
    IF(VLOOKUP(BA$2,'TIS Site Config'!$A$3:$AQ$51,6,FALSE)="Extreme Heated",
   IF(OR(VLOOKUP(BA$2,'TIS Site Config'!$A$3:$AQ$51,24,FALSE)="AB",
                VLOOKUP(BA$2,'TIS Site Config'!$A$3:$AQ$51,24,FALSE)="BC",
                VLOOKUP(BA$2,'TIS Site Config'!$A$3:$AQ$51,24,FALSE)="CD",
                VLOOKUP(BA$2,'TIS Site Config'!$A$3:$AQ$51,24,FALSE)="DA"),
                         1,0)+
  IF(AND(VLOOKUP(BA$2,'TIS Site Config'!$A$3:$AQ$51,22,FALSE)="Split",
                OR(VLOOKUP(BA$2,'TIS Site Config'!$A$3:$AQ$51,25,FALSE)="AB",
                VLOOKUP(BA$2,'TIS Site Config'!$A$3:$AQ$51,25,FALSE)="BC",
                VLOOKUP(BA$2,'TIS Site Config'!$A$3:$AQ$51,25,FALSE)="CD",
                VLOOKUP(BA$2,'TIS Site Config'!$A$3:$AQ$51,25,FALSE)="DA")),
                         1,0),
0),0)</f>
        <v>0</v>
      </c>
      <c r="BB45" s="133">
        <f>IF(VLOOKUP(BB$2,'TIS Site Config'!$A$4:$AQ$51,3,FALSE)&lt;&gt;"Soft",
    IF(VLOOKUP(BB$2,'TIS Site Config'!$A$3:$AQ$51,6,FALSE)="Extreme Heated",
   IF(OR(VLOOKUP(BB$2,'TIS Site Config'!$A$3:$AQ$51,24,FALSE)="AB",
                VLOOKUP(BB$2,'TIS Site Config'!$A$3:$AQ$51,24,FALSE)="BC",
                VLOOKUP(BB$2,'TIS Site Config'!$A$3:$AQ$51,24,FALSE)="CD",
                VLOOKUP(BB$2,'TIS Site Config'!$A$3:$AQ$51,24,FALSE)="DA"),
                         1,0)+
  IF(AND(VLOOKUP(BB$2,'TIS Site Config'!$A$3:$AQ$51,22,FALSE)="Split",
                OR(VLOOKUP(BB$2,'TIS Site Config'!$A$3:$AQ$51,25,FALSE)="AB",
                VLOOKUP(BB$2,'TIS Site Config'!$A$3:$AQ$51,25,FALSE)="BC",
                VLOOKUP(BB$2,'TIS Site Config'!$A$3:$AQ$51,25,FALSE)="CD",
                VLOOKUP(BB$2,'TIS Site Config'!$A$3:$AQ$51,25,FALSE)="DA")),
                         1,0),
0),0)</f>
        <v>0</v>
      </c>
      <c r="BC45" s="207">
        <f>IF(VLOOKUP(BC$2,'TIS Site Config'!$A$4:$AQ$51,3,FALSE)&lt;&gt;"Soft",
    IF(VLOOKUP(BC$2,'TIS Site Config'!$A$3:$AQ$51,6,FALSE)="Extreme Heated",
   IF(OR(VLOOKUP(BC$2,'TIS Site Config'!$A$3:$AQ$51,24,FALSE)="AB",
                VLOOKUP(BC$2,'TIS Site Config'!$A$3:$AQ$51,24,FALSE)="BC",
                VLOOKUP(BC$2,'TIS Site Config'!$A$3:$AQ$51,24,FALSE)="CD",
                VLOOKUP(BC$2,'TIS Site Config'!$A$3:$AQ$51,24,FALSE)="DA"),
                         1,0)+
  IF(AND(VLOOKUP(BC$2,'TIS Site Config'!$A$3:$AQ$51,22,FALSE)="Split",
                OR(VLOOKUP(BC$2,'TIS Site Config'!$A$3:$AQ$51,25,FALSE)="AB",
                VLOOKUP(BC$2,'TIS Site Config'!$A$3:$AQ$51,25,FALSE)="BC",
                VLOOKUP(BC$2,'TIS Site Config'!$A$3:$AQ$51,25,FALSE)="CD",
                VLOOKUP(BC$2,'TIS Site Config'!$A$3:$AQ$51,25,FALSE)="DA")),
                         1,0),
0),0)</f>
        <v>0</v>
      </c>
      <c r="BD45" s="133">
        <f>IF(VLOOKUP(BD$2,'TIS Site Config'!$A$4:$AQ$51,3,FALSE)&lt;&gt;"Soft",
    IF(VLOOKUP(BD$2,'TIS Site Config'!$A$3:$AQ$51,6,FALSE)="Extreme Heated",
   IF(OR(VLOOKUP(BD$2,'TIS Site Config'!$A$3:$AQ$51,24,FALSE)="AB",
                VLOOKUP(BD$2,'TIS Site Config'!$A$3:$AQ$51,24,FALSE)="BC",
                VLOOKUP(BD$2,'TIS Site Config'!$A$3:$AQ$51,24,FALSE)="CD",
                VLOOKUP(BD$2,'TIS Site Config'!$A$3:$AQ$51,24,FALSE)="DA"),
                         1,0)+
  IF(AND(VLOOKUP(BD$2,'TIS Site Config'!$A$3:$AQ$51,22,FALSE)="Split",
                OR(VLOOKUP(BD$2,'TIS Site Config'!$A$3:$AQ$51,25,FALSE)="AB",
                VLOOKUP(BD$2,'TIS Site Config'!$A$3:$AQ$51,25,FALSE)="BC",
                VLOOKUP(BD$2,'TIS Site Config'!$A$3:$AQ$51,25,FALSE)="CD",
                VLOOKUP(BD$2,'TIS Site Config'!$A$3:$AQ$51,25,FALSE)="DA")),
                         1,0),
0),0)</f>
        <v>0</v>
      </c>
      <c r="BE45" s="206">
        <f>IF(VLOOKUP(BE$2,'TIS Site Config'!$A$4:$AQ$51,3,FALSE)&lt;&gt;"Soft",
    IF(VLOOKUP(BE$2,'TIS Site Config'!$A$3:$AQ$51,6,FALSE)="Extreme Heated",
   IF(OR(VLOOKUP(BE$2,'TIS Site Config'!$A$3:$AQ$51,24,FALSE)="AB",
                VLOOKUP(BE$2,'TIS Site Config'!$A$3:$AQ$51,24,FALSE)="BC",
                VLOOKUP(BE$2,'TIS Site Config'!$A$3:$AQ$51,24,FALSE)="CD",
                VLOOKUP(BE$2,'TIS Site Config'!$A$3:$AQ$51,24,FALSE)="DA"),
                         1,0)+
  IF(AND(VLOOKUP(BE$2,'TIS Site Config'!$A$3:$AQ$51,22,FALSE)="Split",
                OR(VLOOKUP(BE$2,'TIS Site Config'!$A$3:$AQ$51,25,FALSE)="AB",
                VLOOKUP(BE$2,'TIS Site Config'!$A$3:$AQ$51,25,FALSE)="BC",
                VLOOKUP(BE$2,'TIS Site Config'!$A$3:$AQ$51,25,FALSE)="CD",
                VLOOKUP(BE$2,'TIS Site Config'!$A$3:$AQ$51,25,FALSE)="DA")),
                         1,0),
0),0)</f>
        <v>0</v>
      </c>
      <c r="BF45" s="207">
        <f>IF(VLOOKUP(BF$2,'TIS Site Config'!$A$4:$AQ$51,3,FALSE)&lt;&gt;"Soft",
    IF(VLOOKUP(BF$2,'TIS Site Config'!$A$3:$AQ$51,6,FALSE)="Extreme Heated",
   IF(OR(VLOOKUP(BF$2,'TIS Site Config'!$A$3:$AQ$51,24,FALSE)="AB",
                VLOOKUP(BF$2,'TIS Site Config'!$A$3:$AQ$51,24,FALSE)="BC",
                VLOOKUP(BF$2,'TIS Site Config'!$A$3:$AQ$51,24,FALSE)="CD",
                VLOOKUP(BF$2,'TIS Site Config'!$A$3:$AQ$51,24,FALSE)="DA"),
                         1,0)+
  IF(AND(VLOOKUP(BF$2,'TIS Site Config'!$A$3:$AQ$51,22,FALSE)="Split",
                OR(VLOOKUP(BF$2,'TIS Site Config'!$A$3:$AQ$51,25,FALSE)="AB",
                VLOOKUP(BF$2,'TIS Site Config'!$A$3:$AQ$51,25,FALSE)="BC",
                VLOOKUP(BF$2,'TIS Site Config'!$A$3:$AQ$51,25,FALSE)="CD",
                VLOOKUP(BF$2,'TIS Site Config'!$A$3:$AQ$51,25,FALSE)="DA")),
                         1,0),
0),0)</f>
        <v>0</v>
      </c>
      <c r="BG45" s="58">
        <f>IF(VLOOKUP(BG$2,'TIS Site Config'!$A$4:$AQ$51,3,FALSE)&lt;&gt;"Soft",
    IF(VLOOKUP(BG$2,'TIS Site Config'!$A$3:$AQ$51,6,FALSE)="Extreme Heated",
   IF(OR(VLOOKUP(BG$2,'TIS Site Config'!$A$3:$AQ$51,24,FALSE)="AB",
                VLOOKUP(BG$2,'TIS Site Config'!$A$3:$AQ$51,24,FALSE)="BC",
                VLOOKUP(BG$2,'TIS Site Config'!$A$3:$AQ$51,24,FALSE)="CD",
                VLOOKUP(BG$2,'TIS Site Config'!$A$3:$AQ$51,24,FALSE)="DA"),
                         1,0)+
  IF(AND(VLOOKUP(BG$2,'TIS Site Config'!$A$3:$AQ$51,22,FALSE)="Split",
                OR(VLOOKUP(BG$2,'TIS Site Config'!$A$3:$AQ$51,25,FALSE)="AB",
                VLOOKUP(BG$2,'TIS Site Config'!$A$3:$AQ$51,25,FALSE)="BC",
                VLOOKUP(BG$2,'TIS Site Config'!$A$3:$AQ$51,25,FALSE)="CD",
                VLOOKUP(BG$2,'TIS Site Config'!$A$3:$AQ$51,25,FALSE)="DA")),
                         1,0),
0),0)</f>
        <v>0</v>
      </c>
      <c r="BH45" s="58">
        <f>IF(VLOOKUP(BH$2,'TIS Site Config'!$A$4:$AQ$51,3,FALSE)&lt;&gt;"Soft",
    IF(VLOOKUP(BH$2,'TIS Site Config'!$A$3:$AQ$51,6,FALSE)="Extreme Heated",
   IF(OR(VLOOKUP(BH$2,'TIS Site Config'!$A$3:$AQ$51,24,FALSE)="AB",
                VLOOKUP(BH$2,'TIS Site Config'!$A$3:$AQ$51,24,FALSE)="BC",
                VLOOKUP(BH$2,'TIS Site Config'!$A$3:$AQ$51,24,FALSE)="CD",
                VLOOKUP(BH$2,'TIS Site Config'!$A$3:$AQ$51,24,FALSE)="DA"),
                         1,0)+
  IF(AND(VLOOKUP(BH$2,'TIS Site Config'!$A$3:$AQ$51,22,FALSE)="Split",
                OR(VLOOKUP(BH$2,'TIS Site Config'!$A$3:$AQ$51,25,FALSE)="AB",
                VLOOKUP(BH$2,'TIS Site Config'!$A$3:$AQ$51,25,FALSE)="BC",
                VLOOKUP(BH$2,'TIS Site Config'!$A$3:$AQ$51,25,FALSE)="CD",
                VLOOKUP(BH$2,'TIS Site Config'!$A$3:$AQ$51,25,FALSE)="DA")),
                         1,0),
0),0)</f>
        <v>0</v>
      </c>
      <c r="BK45" s="44">
        <v>2</v>
      </c>
      <c r="BL45" s="950" t="b">
        <f t="shared" si="3"/>
        <v>0</v>
      </c>
      <c r="BO45" s="950"/>
    </row>
    <row r="46" spans="1:67" s="44" customFormat="1" ht="15.75" thickTop="1" x14ac:dyDescent="0.25">
      <c r="A46" s="1378"/>
      <c r="B46" s="1261" t="s">
        <v>592</v>
      </c>
      <c r="C46" s="57" t="s">
        <v>523</v>
      </c>
      <c r="D46" s="90">
        <v>3</v>
      </c>
      <c r="E46" s="84" t="s">
        <v>445</v>
      </c>
      <c r="F46" s="60">
        <f t="shared" si="1"/>
        <v>25</v>
      </c>
      <c r="G46" s="459"/>
      <c r="H46" s="460"/>
      <c r="I46" s="460"/>
      <c r="J46" s="460"/>
      <c r="K46" s="461"/>
      <c r="L46" s="494"/>
      <c r="M46" s="134">
        <f>IF(VLOOKUP(M$2,'TIS Site Config'!$A$4:$AQ$51,3,FALSE)&lt;&gt;"Soft",
IF(VLOOKUP(M$2,'TIS Site Config'!$A$3:$AQ$51,6,FALSE)&lt;&gt;"Extreme Heated",
   IF(OR(VLOOKUP(M$2,'TIS Site Config'!$A$3:$AQ$51,23,FALSE)="BA",
                VLOOKUP(M$2,'TIS Site Config'!$A$3:$AQ$51,23,FALSE)="AD",
                VLOOKUP(M$2,'TIS Site Config'!$A$3:$AQ$51,23,FALSE)="DC",
                VLOOKUP(M$2,'TIS Site Config'!$A$3:$AQ$51,23,FALSE)="CB"),
                         1,0),
0),0)</f>
        <v>1</v>
      </c>
      <c r="N46" s="212">
        <f>IF(VLOOKUP(N$2,'TIS Site Config'!$A$4:$AQ$51,3,FALSE)&lt;&gt;"Soft",
IF(VLOOKUP(N$2,'TIS Site Config'!$A$3:$AQ$51,6,FALSE)&lt;&gt;"Extreme Heated",
   IF(OR(VLOOKUP(N$2,'TIS Site Config'!$A$3:$AQ$51,23,FALSE)="BA",
                VLOOKUP(N$2,'TIS Site Config'!$A$3:$AQ$51,23,FALSE)="AD",
                VLOOKUP(N$2,'TIS Site Config'!$A$3:$AQ$51,23,FALSE)="DC",
                VLOOKUP(N$2,'TIS Site Config'!$A$3:$AQ$51,23,FALSE)="CB"),
                         1,0),
0),0)</f>
        <v>1</v>
      </c>
      <c r="O46" s="215">
        <f>IF(VLOOKUP(O$2,'TIS Site Config'!$A$4:$AQ$51,3,FALSE)&lt;&gt;"Soft",
IF(VLOOKUP(O$2,'TIS Site Config'!$A$3:$AQ$51,6,FALSE)&lt;&gt;"Extreme Heated",
   IF(OR(VLOOKUP(O$2,'TIS Site Config'!$A$3:$AQ$51,23,FALSE)="BA",
                VLOOKUP(O$2,'TIS Site Config'!$A$3:$AQ$51,23,FALSE)="AD",
                VLOOKUP(O$2,'TIS Site Config'!$A$3:$AQ$51,23,FALSE)="DC",
                VLOOKUP(O$2,'TIS Site Config'!$A$3:$AQ$51,23,FALSE)="CB"),
                         1,0),
0),0)</f>
        <v>1</v>
      </c>
      <c r="P46" s="309">
        <f>IF(VLOOKUP(P$2,'TIS Site Config'!$A$4:$AQ$51,3,FALSE)&lt;&gt;"Soft",
IF(VLOOKUP(P$2,'TIS Site Config'!$A$3:$AQ$51,6,FALSE)&lt;&gt;"Extreme Heated",
   IF(OR(VLOOKUP(P$2,'TIS Site Config'!$A$3:$AQ$51,23,FALSE)="BA",
                VLOOKUP(P$2,'TIS Site Config'!$A$3:$AQ$51,23,FALSE)="AD",
                VLOOKUP(P$2,'TIS Site Config'!$A$3:$AQ$51,23,FALSE)="DC",
                VLOOKUP(P$2,'TIS Site Config'!$A$3:$AQ$51,23,FALSE)="CB"),
                         1,0),
0),0)</f>
        <v>1</v>
      </c>
      <c r="Q46" s="212">
        <f>IF(VLOOKUP(Q$2,'TIS Site Config'!$A$4:$AQ$51,3,FALSE)&lt;&gt;"Soft",
IF(VLOOKUP(Q$2,'TIS Site Config'!$A$3:$AQ$51,6,FALSE)&lt;&gt;"Extreme Heated",
   IF(OR(VLOOKUP(Q$2,'TIS Site Config'!$A$3:$AQ$51,23,FALSE)="BA",
                VLOOKUP(Q$2,'TIS Site Config'!$A$3:$AQ$51,23,FALSE)="AD",
                VLOOKUP(Q$2,'TIS Site Config'!$A$3:$AQ$51,23,FALSE)="DC",
                VLOOKUP(Q$2,'TIS Site Config'!$A$3:$AQ$51,23,FALSE)="CB"),
                         1,0),
0),0)</f>
        <v>1</v>
      </c>
      <c r="R46" s="134">
        <f>IF(VLOOKUP(R$2,'TIS Site Config'!$A$4:$AQ$51,3,FALSE)&lt;&gt;"Soft",
IF(VLOOKUP(R$2,'TIS Site Config'!$A$3:$AQ$51,6,FALSE)&lt;&gt;"Extreme Heated",
   IF(OR(VLOOKUP(R$2,'TIS Site Config'!$A$3:$AQ$51,23,FALSE)="BA",
                VLOOKUP(R$2,'TIS Site Config'!$A$3:$AQ$51,23,FALSE)="AD",
                VLOOKUP(R$2,'TIS Site Config'!$A$3:$AQ$51,23,FALSE)="DC",
                VLOOKUP(R$2,'TIS Site Config'!$A$3:$AQ$51,23,FALSE)="CB"),
                         1,0),
0),0)</f>
        <v>0</v>
      </c>
      <c r="S46" s="309">
        <f>IF(VLOOKUP(S$2,'TIS Site Config'!$A$4:$AQ$51,3,FALSE)&lt;&gt;"Soft",
IF(VLOOKUP(S$2,'TIS Site Config'!$A$3:$AQ$51,6,FALSE)&lt;&gt;"Extreme Heated",
   IF(OR(VLOOKUP(S$2,'TIS Site Config'!$A$3:$AQ$51,23,FALSE)="BA",
                VLOOKUP(S$2,'TIS Site Config'!$A$3:$AQ$51,23,FALSE)="AD",
                VLOOKUP(S$2,'TIS Site Config'!$A$3:$AQ$51,23,FALSE)="DC",
                VLOOKUP(S$2,'TIS Site Config'!$A$3:$AQ$51,23,FALSE)="CB"),
                         1,0),
0),0)</f>
        <v>0</v>
      </c>
      <c r="T46" s="212">
        <f>IF(VLOOKUP(T$2,'TIS Site Config'!$A$4:$AQ$51,3,FALSE)&lt;&gt;"Soft",
IF(VLOOKUP(T$2,'TIS Site Config'!$A$3:$AQ$51,6,FALSE)&lt;&gt;"Extreme Heated",
   IF(OR(VLOOKUP(T$2,'TIS Site Config'!$A$3:$AQ$51,23,FALSE)="BA",
                VLOOKUP(T$2,'TIS Site Config'!$A$3:$AQ$51,23,FALSE)="AD",
                VLOOKUP(T$2,'TIS Site Config'!$A$3:$AQ$51,23,FALSE)="DC",
                VLOOKUP(T$2,'TIS Site Config'!$A$3:$AQ$51,23,FALSE)="CB"),
                         1,0),
0),0)</f>
        <v>0</v>
      </c>
      <c r="U46" s="134">
        <f>IF(VLOOKUP(U$2,'TIS Site Config'!$A$4:$AQ$51,3,FALSE)&lt;&gt;"Soft",
IF(VLOOKUP(U$2,'TIS Site Config'!$A$3:$AQ$51,6,FALSE)&lt;&gt;"Extreme Heated",
   IF(OR(VLOOKUP(U$2,'TIS Site Config'!$A$3:$AQ$51,23,FALSE)="BA",
                VLOOKUP(U$2,'TIS Site Config'!$A$3:$AQ$51,23,FALSE)="AD",
                VLOOKUP(U$2,'TIS Site Config'!$A$3:$AQ$51,23,FALSE)="DC",
                VLOOKUP(U$2,'TIS Site Config'!$A$3:$AQ$51,23,FALSE)="CB"),
                         1,0),
0),0)</f>
        <v>0</v>
      </c>
      <c r="V46" s="212">
        <f>IF(VLOOKUP(V$2,'TIS Site Config'!$A$4:$AQ$51,3,FALSE)&lt;&gt;"Soft",
IF(VLOOKUP(V$2,'TIS Site Config'!$A$3:$AQ$51,6,FALSE)&lt;&gt;"Extreme Heated",
   IF(OR(VLOOKUP(V$2,'TIS Site Config'!$A$3:$AQ$51,23,FALSE)="BA",
                VLOOKUP(V$2,'TIS Site Config'!$A$3:$AQ$51,23,FALSE)="AD",
                VLOOKUP(V$2,'TIS Site Config'!$A$3:$AQ$51,23,FALSE)="DC",
                VLOOKUP(V$2,'TIS Site Config'!$A$3:$AQ$51,23,FALSE)="CB"),
                         1,0),
0),0)</f>
        <v>0</v>
      </c>
      <c r="W46" s="214">
        <f>IF(VLOOKUP(W$2,'TIS Site Config'!$A$4:$AQ$51,3,FALSE)&lt;&gt;"Soft",
IF(VLOOKUP(W$2,'TIS Site Config'!$A$3:$AQ$51,6,FALSE)&lt;&gt;"Extreme Heated",
   IF(OR(VLOOKUP(W$2,'TIS Site Config'!$A$3:$AQ$51,23,FALSE)="BA",
                VLOOKUP(W$2,'TIS Site Config'!$A$3:$AQ$51,23,FALSE)="AD",
                VLOOKUP(W$2,'TIS Site Config'!$A$3:$AQ$51,23,FALSE)="DC",
                VLOOKUP(W$2,'TIS Site Config'!$A$3:$AQ$51,23,FALSE)="CB"),
                         1,0),
0),0)</f>
        <v>1</v>
      </c>
      <c r="X46" s="309">
        <f>IF(VLOOKUP(X$2,'TIS Site Config'!$A$4:$AQ$51,3,FALSE)&lt;&gt;"Soft",
IF(VLOOKUP(X$2,'TIS Site Config'!$A$3:$AQ$51,6,FALSE)&lt;&gt;"Extreme Heated",
   IF(OR(VLOOKUP(X$2,'TIS Site Config'!$A$3:$AQ$51,23,FALSE)="BA",
                VLOOKUP(X$2,'TIS Site Config'!$A$3:$AQ$51,23,FALSE)="AD",
                VLOOKUP(X$2,'TIS Site Config'!$A$3:$AQ$51,23,FALSE)="DC",
                VLOOKUP(X$2,'TIS Site Config'!$A$3:$AQ$51,23,FALSE)="CB"),
                         1,0),
0),0)</f>
        <v>1</v>
      </c>
      <c r="Y46" s="212">
        <f>IF(VLOOKUP(Y$2,'TIS Site Config'!$A$4:$AQ$51,3,FALSE)&lt;&gt;"Soft",
IF(VLOOKUP(Y$2,'TIS Site Config'!$A$3:$AQ$51,6,FALSE)&lt;&gt;"Extreme Heated",
   IF(OR(VLOOKUP(Y$2,'TIS Site Config'!$A$3:$AQ$51,23,FALSE)="BA",
                VLOOKUP(Y$2,'TIS Site Config'!$A$3:$AQ$51,23,FALSE)="AD",
                VLOOKUP(Y$2,'TIS Site Config'!$A$3:$AQ$51,23,FALSE)="DC",
                VLOOKUP(Y$2,'TIS Site Config'!$A$3:$AQ$51,23,FALSE)="CB"),
                         1,0),
0),0)</f>
        <v>1</v>
      </c>
      <c r="Z46" s="134">
        <f>IF(VLOOKUP(Z$2,'TIS Site Config'!$A$4:$AQ$51,3,FALSE)&lt;&gt;"Soft",
IF(VLOOKUP(Z$2,'TIS Site Config'!$A$3:$AQ$51,6,FALSE)&lt;&gt;"Extreme Heated",
   IF(OR(VLOOKUP(Z$2,'TIS Site Config'!$A$3:$AQ$51,23,FALSE)="BA",
                VLOOKUP(Z$2,'TIS Site Config'!$A$3:$AQ$51,23,FALSE)="AD",
                VLOOKUP(Z$2,'TIS Site Config'!$A$3:$AQ$51,23,FALSE)="DC",
                VLOOKUP(Z$2,'TIS Site Config'!$A$3:$AQ$51,23,FALSE)="CB"),
                         1,0),
0),0)</f>
        <v>1</v>
      </c>
      <c r="AA46" s="309">
        <f>IF(VLOOKUP(AA$2,'TIS Site Config'!$A$4:$AQ$51,3,FALSE)&lt;&gt;"Soft",
IF(VLOOKUP(AA$2,'TIS Site Config'!$A$3:$AQ$51,6,FALSE)&lt;&gt;"Extreme Heated",
   IF(OR(VLOOKUP(AA$2,'TIS Site Config'!$A$3:$AQ$51,23,FALSE)="BA",
                VLOOKUP(AA$2,'TIS Site Config'!$A$3:$AQ$51,23,FALSE)="AD",
                VLOOKUP(AA$2,'TIS Site Config'!$A$3:$AQ$51,23,FALSE)="DC",
                VLOOKUP(AA$2,'TIS Site Config'!$A$3:$AQ$51,23,FALSE)="CB"),
                         1,0),
0),0)</f>
        <v>1</v>
      </c>
      <c r="AB46" s="212">
        <f>IF(VLOOKUP(AB$2,'TIS Site Config'!$A$4:$AQ$51,3,FALSE)&lt;&gt;"Soft",
IF(VLOOKUP(AB$2,'TIS Site Config'!$A$3:$AQ$51,6,FALSE)&lt;&gt;"Extreme Heated",
   IF(OR(VLOOKUP(AB$2,'TIS Site Config'!$A$3:$AQ$51,23,FALSE)="BA",
                VLOOKUP(AB$2,'TIS Site Config'!$A$3:$AQ$51,23,FALSE)="AD",
                VLOOKUP(AB$2,'TIS Site Config'!$A$3:$AQ$51,23,FALSE)="DC",
                VLOOKUP(AB$2,'TIS Site Config'!$A$3:$AQ$51,23,FALSE)="CB"),
                         1,0),
0),0)</f>
        <v>1</v>
      </c>
      <c r="AC46" s="309">
        <f>IF(VLOOKUP(AC$2,'TIS Site Config'!$A$4:$AQ$51,3,FALSE)&lt;&gt;"Soft",
IF(VLOOKUP(AC$2,'TIS Site Config'!$A$3:$AQ$51,6,FALSE)&lt;&gt;"Extreme Heated",
   IF(OR(VLOOKUP(AC$2,'TIS Site Config'!$A$3:$AQ$51,23,FALSE)="BA",
                VLOOKUP(AC$2,'TIS Site Config'!$A$3:$AQ$51,23,FALSE)="AD",
                VLOOKUP(AC$2,'TIS Site Config'!$A$3:$AQ$51,23,FALSE)="DC",
                VLOOKUP(AC$2,'TIS Site Config'!$A$3:$AQ$51,23,FALSE)="CB"),
                         1,0),
0),0)</f>
        <v>0</v>
      </c>
      <c r="AD46" s="213">
        <f>IF(VLOOKUP(AD$2,'TIS Site Config'!$A$4:$AQ$51,3,FALSE)&lt;&gt;"Soft",
IF(VLOOKUP(AD$2,'TIS Site Config'!$A$3:$AQ$51,6,FALSE)&lt;&gt;"Extreme Heated",
   IF(OR(VLOOKUP(AD$2,'TIS Site Config'!$A$3:$AQ$51,23,FALSE)="BA",
                VLOOKUP(AD$2,'TIS Site Config'!$A$3:$AQ$51,23,FALSE)="AD",
                VLOOKUP(AD$2,'TIS Site Config'!$A$3:$AQ$51,23,FALSE)="DC",
                VLOOKUP(AD$2,'TIS Site Config'!$A$3:$AQ$51,23,FALSE)="CB"),
                         1,0),
0),0)</f>
        <v>0</v>
      </c>
      <c r="AE46" s="213">
        <f>IF(VLOOKUP(AE$2,'TIS Site Config'!$A$4:$AQ$51,3,FALSE)&lt;&gt;"Soft",
IF(VLOOKUP(AE$2,'TIS Site Config'!$A$3:$AQ$51,6,FALSE)&lt;&gt;"Extreme Heated",
   IF(OR(VLOOKUP(AE$2,'TIS Site Config'!$A$3:$AQ$51,23,FALSE)="BA",
                VLOOKUP(AE$2,'TIS Site Config'!$A$3:$AQ$51,23,FALSE)="AD",
                VLOOKUP(AE$2,'TIS Site Config'!$A$3:$AQ$51,23,FALSE)="DC",
                VLOOKUP(AE$2,'TIS Site Config'!$A$3:$AQ$51,23,FALSE)="CB"),
                         1,0),
0),0)</f>
        <v>0</v>
      </c>
      <c r="AF46" s="39">
        <f>IF(VLOOKUP(AF$2,'TIS Site Config'!$A$4:$AQ$51,3,FALSE)&lt;&gt;"Soft",
IF(VLOOKUP(AF$2,'TIS Site Config'!$A$3:$AQ$51,6,FALSE)&lt;&gt;"Extreme Heated",
   IF(OR(VLOOKUP(AF$2,'TIS Site Config'!$A$3:$AQ$51,23,FALSE)="BA",
                VLOOKUP(AF$2,'TIS Site Config'!$A$3:$AQ$51,23,FALSE)="AD",
                VLOOKUP(AF$2,'TIS Site Config'!$A$3:$AQ$51,23,FALSE)="DC",
                VLOOKUP(AF$2,'TIS Site Config'!$A$3:$AQ$51,23,FALSE)="CB"),
                         1,0),
0),0)</f>
        <v>1</v>
      </c>
      <c r="AG46" s="309">
        <f>IF(VLOOKUP(AG$2,'TIS Site Config'!$A$4:$AQ$51,3,FALSE)&lt;&gt;"Soft",
IF(VLOOKUP(AG$2,'TIS Site Config'!$A$3:$AQ$51,6,FALSE)&lt;&gt;"Extreme Heated",
   IF(OR(VLOOKUP(AG$2,'TIS Site Config'!$A$3:$AQ$51,23,FALSE)="BA",
                VLOOKUP(AG$2,'TIS Site Config'!$A$3:$AQ$51,23,FALSE)="AD",
                VLOOKUP(AG$2,'TIS Site Config'!$A$3:$AQ$51,23,FALSE)="DC",
                VLOOKUP(AG$2,'TIS Site Config'!$A$3:$AQ$51,23,FALSE)="CB"),
                         1,0),
0),0)</f>
        <v>0</v>
      </c>
      <c r="AH46" s="212">
        <f>IF(VLOOKUP(AH$2,'TIS Site Config'!$A$4:$AQ$51,3,FALSE)&lt;&gt;"Soft",
IF(VLOOKUP(AH$2,'TIS Site Config'!$A$3:$AQ$51,6,FALSE)&lt;&gt;"Extreme Heated",
   IF(OR(VLOOKUP(AH$2,'TIS Site Config'!$A$3:$AQ$51,23,FALSE)="BA",
                VLOOKUP(AH$2,'TIS Site Config'!$A$3:$AQ$51,23,FALSE)="AD",
                VLOOKUP(AH$2,'TIS Site Config'!$A$3:$AQ$51,23,FALSE)="DC",
                VLOOKUP(AH$2,'TIS Site Config'!$A$3:$AQ$51,23,FALSE)="CB"),
                         1,0),
0),0)</f>
        <v>1</v>
      </c>
      <c r="AI46" s="134">
        <f>IF(VLOOKUP(AI$2,'TIS Site Config'!$A$4:$AQ$51,3,FALSE)&lt;&gt;"Soft",
IF(VLOOKUP(AI$2,'TIS Site Config'!$A$3:$AQ$51,6,FALSE)&lt;&gt;"Extreme Heated",
   IF(OR(VLOOKUP(AI$2,'TIS Site Config'!$A$3:$AQ$51,23,FALSE)="BA",
                VLOOKUP(AI$2,'TIS Site Config'!$A$3:$AQ$51,23,FALSE)="AD",
                VLOOKUP(AI$2,'TIS Site Config'!$A$3:$AQ$51,23,FALSE)="DC",
                VLOOKUP(AI$2,'TIS Site Config'!$A$3:$AQ$51,23,FALSE)="CB"),
                         1,0),
0),0)</f>
        <v>1</v>
      </c>
      <c r="AJ46" s="309">
        <f>IF(VLOOKUP(AJ$2,'TIS Site Config'!$A$4:$AQ$51,3,FALSE)&lt;&gt;"Soft",
IF(VLOOKUP(AJ$2,'TIS Site Config'!$A$3:$AQ$51,6,FALSE)&lt;&gt;"Extreme Heated",
   IF(OR(VLOOKUP(AJ$2,'TIS Site Config'!$A$3:$AQ$51,23,FALSE)="BA",
                VLOOKUP(AJ$2,'TIS Site Config'!$A$3:$AQ$51,23,FALSE)="AD",
                VLOOKUP(AJ$2,'TIS Site Config'!$A$3:$AQ$51,23,FALSE)="DC",
                VLOOKUP(AJ$2,'TIS Site Config'!$A$3:$AQ$51,23,FALSE)="CB"),
                         1,0),
0),0)</f>
        <v>1</v>
      </c>
      <c r="AK46" s="212">
        <f>IF(VLOOKUP(AK$2,'TIS Site Config'!$A$4:$AQ$51,3,FALSE)&lt;&gt;"Soft",
IF(VLOOKUP(AK$2,'TIS Site Config'!$A$3:$AQ$51,6,FALSE)&lt;&gt;"Extreme Heated",
   IF(OR(VLOOKUP(AK$2,'TIS Site Config'!$A$3:$AQ$51,23,FALSE)="BA",
                VLOOKUP(AK$2,'TIS Site Config'!$A$3:$AQ$51,23,FALSE)="AD",
                VLOOKUP(AK$2,'TIS Site Config'!$A$3:$AQ$51,23,FALSE)="DC",
                VLOOKUP(AK$2,'TIS Site Config'!$A$3:$AQ$51,23,FALSE)="CB"),
                         1,0),
0),0)</f>
        <v>1</v>
      </c>
      <c r="AL46" s="134">
        <f>IF(VLOOKUP(AL$2,'TIS Site Config'!$A$4:$AQ$51,3,FALSE)&lt;&gt;"Soft",
IF(VLOOKUP(AL$2,'TIS Site Config'!$A$3:$AQ$51,6,FALSE)&lt;&gt;"Extreme Heated",
   IF(OR(VLOOKUP(AL$2,'TIS Site Config'!$A$3:$AQ$51,23,FALSE)="BA",
                VLOOKUP(AL$2,'TIS Site Config'!$A$3:$AQ$51,23,FALSE)="AD",
                VLOOKUP(AL$2,'TIS Site Config'!$A$3:$AQ$51,23,FALSE)="DC",
                VLOOKUP(AL$2,'TIS Site Config'!$A$3:$AQ$51,23,FALSE)="CB"),
                         1,0),
0),0)</f>
        <v>1</v>
      </c>
      <c r="AM46" s="309">
        <f>IF(VLOOKUP(AM$2,'TIS Site Config'!$A$4:$AQ$51,3,FALSE)&lt;&gt;"Soft",
IF(VLOOKUP(AM$2,'TIS Site Config'!$A$3:$AQ$51,6,FALSE)&lt;&gt;"Extreme Heated",
   IF(OR(VLOOKUP(AM$2,'TIS Site Config'!$A$3:$AQ$51,23,FALSE)="BA",
                VLOOKUP(AM$2,'TIS Site Config'!$A$3:$AQ$51,23,FALSE)="AD",
                VLOOKUP(AM$2,'TIS Site Config'!$A$3:$AQ$51,23,FALSE)="DC",
                VLOOKUP(AM$2,'TIS Site Config'!$A$3:$AQ$51,23,FALSE)="CB"),
                         1,0),
0),0)</f>
        <v>1</v>
      </c>
      <c r="AN46" s="212">
        <f>IF(VLOOKUP(AN$2,'TIS Site Config'!$A$4:$AQ$51,3,FALSE)&lt;&gt;"Soft",
IF(VLOOKUP(AN$2,'TIS Site Config'!$A$3:$AQ$51,6,FALSE)&lt;&gt;"Extreme Heated",
   IF(OR(VLOOKUP(AN$2,'TIS Site Config'!$A$3:$AQ$51,23,FALSE)="BA",
                VLOOKUP(AN$2,'TIS Site Config'!$A$3:$AQ$51,23,FALSE)="AD",
                VLOOKUP(AN$2,'TIS Site Config'!$A$3:$AQ$51,23,FALSE)="DC",
                VLOOKUP(AN$2,'TIS Site Config'!$A$3:$AQ$51,23,FALSE)="CB"),
                         1,0),
0),0)</f>
        <v>1</v>
      </c>
      <c r="AO46" s="134">
        <f>IF(VLOOKUP(AO$2,'TIS Site Config'!$A$4:$AQ$51,3,FALSE)&lt;&gt;"Soft",
IF(VLOOKUP(AO$2,'TIS Site Config'!$A$3:$AQ$51,6,FALSE)&lt;&gt;"Extreme Heated",
   IF(OR(VLOOKUP(AO$2,'TIS Site Config'!$A$3:$AQ$51,23,FALSE)="BA",
                VLOOKUP(AO$2,'TIS Site Config'!$A$3:$AQ$51,23,FALSE)="AD",
                VLOOKUP(AO$2,'TIS Site Config'!$A$3:$AQ$51,23,FALSE)="DC",
                VLOOKUP(AO$2,'TIS Site Config'!$A$3:$AQ$51,23,FALSE)="CB"),
                         1,0),
0),0)</f>
        <v>1</v>
      </c>
      <c r="AP46" s="309">
        <f>IF(VLOOKUP(AP$2,'TIS Site Config'!$A$4:$AQ$51,3,FALSE)&lt;&gt;"Soft",
IF(VLOOKUP(AP$2,'TIS Site Config'!$A$3:$AQ$51,6,FALSE)&lt;&gt;"Extreme Heated",
   IF(OR(VLOOKUP(AP$2,'TIS Site Config'!$A$3:$AQ$51,23,FALSE)="BA",
                VLOOKUP(AP$2,'TIS Site Config'!$A$3:$AQ$51,23,FALSE)="AD",
                VLOOKUP(AP$2,'TIS Site Config'!$A$3:$AQ$51,23,FALSE)="DC",
                VLOOKUP(AP$2,'TIS Site Config'!$A$3:$AQ$51,23,FALSE)="CB"),
                         1,0),
0),0)</f>
        <v>0</v>
      </c>
      <c r="AQ46" s="134">
        <f>IF(VLOOKUP(AQ$2,'TIS Site Config'!$A$4:$AQ$51,3,FALSE)&lt;&gt;"Soft",
IF(VLOOKUP(AQ$2,'TIS Site Config'!$A$3:$AQ$51,6,FALSE)&lt;&gt;"Extreme Heated",
   IF(OR(VLOOKUP(AQ$2,'TIS Site Config'!$A$3:$AQ$51,23,FALSE)="BA",
                VLOOKUP(AQ$2,'TIS Site Config'!$A$3:$AQ$51,23,FALSE)="AD",
                VLOOKUP(AQ$2,'TIS Site Config'!$A$3:$AQ$51,23,FALSE)="DC",
                VLOOKUP(AQ$2,'TIS Site Config'!$A$3:$AQ$51,23,FALSE)="CB"),
                         1,0),
0),0)</f>
        <v>1</v>
      </c>
      <c r="AR46" s="134">
        <f>IF(VLOOKUP(AR$2,'TIS Site Config'!$A$4:$AQ$51,3,FALSE)&lt;&gt;"Soft",
IF(VLOOKUP(AR$2,'TIS Site Config'!$A$3:$AQ$51,6,FALSE)&lt;&gt;"Extreme Heated",
   IF(OR(VLOOKUP(AR$2,'TIS Site Config'!$A$3:$AQ$51,23,FALSE)="BA",
                VLOOKUP(AR$2,'TIS Site Config'!$A$3:$AQ$51,23,FALSE)="AD",
                VLOOKUP(AR$2,'TIS Site Config'!$A$3:$AQ$51,23,FALSE)="DC",
                VLOOKUP(AR$2,'TIS Site Config'!$A$3:$AQ$51,23,FALSE)="CB"),
                         1,0),
0),0)</f>
        <v>0</v>
      </c>
      <c r="AS46" s="309">
        <f>IF(VLOOKUP(AS$2,'TIS Site Config'!$A$4:$AQ$51,3,FALSE)&lt;&gt;"Soft",
IF(VLOOKUP(AS$2,'TIS Site Config'!$A$3:$AQ$51,6,FALSE)&lt;&gt;"Extreme Heated",
   IF(OR(VLOOKUP(AS$2,'TIS Site Config'!$A$3:$AQ$51,23,FALSE)="BA",
                VLOOKUP(AS$2,'TIS Site Config'!$A$3:$AQ$51,23,FALSE)="AD",
                VLOOKUP(AS$2,'TIS Site Config'!$A$3:$AQ$51,23,FALSE)="DC",
                VLOOKUP(AS$2,'TIS Site Config'!$A$3:$AQ$51,23,FALSE)="CB"),
                         1,0),
0),0)</f>
        <v>0</v>
      </c>
      <c r="AT46" s="134">
        <f>IF(VLOOKUP(AT$2,'TIS Site Config'!$A$4:$AQ$51,3,FALSE)&lt;&gt;"Soft",
IF(VLOOKUP(AT$2,'TIS Site Config'!$A$3:$AQ$51,6,FALSE)&lt;&gt;"Extreme Heated",
   IF(OR(VLOOKUP(AT$2,'TIS Site Config'!$A$3:$AQ$51,23,FALSE)="BA",
                VLOOKUP(AT$2,'TIS Site Config'!$A$3:$AQ$51,23,FALSE)="AD",
                VLOOKUP(AT$2,'TIS Site Config'!$A$3:$AQ$51,23,FALSE)="DC",
                VLOOKUP(AT$2,'TIS Site Config'!$A$3:$AQ$51,23,FALSE)="CB"),
                         1,0),
0),0)</f>
        <v>0</v>
      </c>
      <c r="AU46" s="309">
        <f>IF(VLOOKUP(AU$2,'TIS Site Config'!$A$4:$AQ$51,3,FALSE)&lt;&gt;"Soft",
IF(VLOOKUP(AU$2,'TIS Site Config'!$A$3:$AQ$51,6,FALSE)&lt;&gt;"Extreme Heated",
   IF(OR(VLOOKUP(AU$2,'TIS Site Config'!$A$3:$AQ$51,23,FALSE)="BA",
                VLOOKUP(AU$2,'TIS Site Config'!$A$3:$AQ$51,23,FALSE)="AD",
                VLOOKUP(AU$2,'TIS Site Config'!$A$3:$AQ$51,23,FALSE)="DC",
                VLOOKUP(AU$2,'TIS Site Config'!$A$3:$AQ$51,23,FALSE)="CB"),
                         1,0),
0),0)</f>
        <v>1</v>
      </c>
      <c r="AV46" s="134">
        <f>IF(VLOOKUP(AV$2,'TIS Site Config'!$A$4:$AQ$51,3,FALSE)&lt;&gt;"Soft",
IF(VLOOKUP(AV$2,'TIS Site Config'!$A$3:$AQ$51,6,FALSE)&lt;&gt;"Extreme Heated",
   IF(OR(VLOOKUP(AV$2,'TIS Site Config'!$A$3:$AQ$51,23,FALSE)="BA",
                VLOOKUP(AV$2,'TIS Site Config'!$A$3:$AQ$51,23,FALSE)="AD",
                VLOOKUP(AV$2,'TIS Site Config'!$A$3:$AQ$51,23,FALSE)="DC",
                VLOOKUP(AV$2,'TIS Site Config'!$A$3:$AQ$51,23,FALSE)="CB"),
                         1,0),
0),0)</f>
        <v>1</v>
      </c>
      <c r="AW46" s="134">
        <f>IF(VLOOKUP(AW$2,'TIS Site Config'!$A$4:$AQ$51,3,FALSE)&lt;&gt;"Soft",
IF(VLOOKUP(AW$2,'TIS Site Config'!$A$3:$AQ$51,6,FALSE)&lt;&gt;"Extreme Heated",
   IF(OR(VLOOKUP(AW$2,'TIS Site Config'!$A$3:$AQ$51,23,FALSE)="BA",
                VLOOKUP(AW$2,'TIS Site Config'!$A$3:$AQ$51,23,FALSE)="AD",
                VLOOKUP(AW$2,'TIS Site Config'!$A$3:$AQ$51,23,FALSE)="DC",
                VLOOKUP(AW$2,'TIS Site Config'!$A$3:$AQ$51,23,FALSE)="CB"),
                         1,0),
0),0)</f>
        <v>1</v>
      </c>
      <c r="AX46" s="212">
        <f>IF(VLOOKUP(AX$2,'TIS Site Config'!$A$4:$AQ$51,3,FALSE)&lt;&gt;"Soft",
IF(VLOOKUP(AX$2,'TIS Site Config'!$A$3:$AQ$51,6,FALSE)&lt;&gt;"Extreme Heated",
   IF(OR(VLOOKUP(AX$2,'TIS Site Config'!$A$3:$AQ$51,23,FALSE)="BA",
                VLOOKUP(AX$2,'TIS Site Config'!$A$3:$AQ$51,23,FALSE)="AD",
                VLOOKUP(AX$2,'TIS Site Config'!$A$3:$AQ$51,23,FALSE)="DC",
                VLOOKUP(AX$2,'TIS Site Config'!$A$3:$AQ$51,23,FALSE)="CB"),
                         1,0),
0),0)</f>
        <v>0</v>
      </c>
      <c r="AY46" s="134">
        <f>IF(VLOOKUP(AY$2,'TIS Site Config'!$A$4:$AQ$51,3,FALSE)&lt;&gt;"Soft",
IF(VLOOKUP(AY$2,'TIS Site Config'!$A$3:$AQ$51,6,FALSE)&lt;&gt;"Extreme Heated",
   IF(OR(VLOOKUP(AY$2,'TIS Site Config'!$A$3:$AQ$51,23,FALSE)="BA",
                VLOOKUP(AY$2,'TIS Site Config'!$A$3:$AQ$51,23,FALSE)="AD",
                VLOOKUP(AY$2,'TIS Site Config'!$A$3:$AQ$51,23,FALSE)="DC",
                VLOOKUP(AY$2,'TIS Site Config'!$A$3:$AQ$51,23,FALSE)="CB"),
                         1,0),
0),0)</f>
        <v>0</v>
      </c>
      <c r="AZ46" s="309">
        <f>IF(VLOOKUP(AZ$2,'TIS Site Config'!$A$4:$AQ$51,3,FALSE)&lt;&gt;"Soft",
IF(VLOOKUP(AZ$2,'TIS Site Config'!$A$3:$AQ$51,6,FALSE)&lt;&gt;"Extreme Heated",
   IF(OR(VLOOKUP(AZ$2,'TIS Site Config'!$A$3:$AQ$51,23,FALSE)="BA",
                VLOOKUP(AZ$2,'TIS Site Config'!$A$3:$AQ$51,23,FALSE)="AD",
                VLOOKUP(AZ$2,'TIS Site Config'!$A$3:$AQ$51,23,FALSE)="DC",
                VLOOKUP(AZ$2,'TIS Site Config'!$A$3:$AQ$51,23,FALSE)="CB"),
                         1,0),
0),0)</f>
        <v>0</v>
      </c>
      <c r="BA46" s="213">
        <f>IF(VLOOKUP(BA$2,'TIS Site Config'!$A$4:$AQ$51,3,FALSE)&lt;&gt;"Soft",
IF(VLOOKUP(BA$2,'TIS Site Config'!$A$3:$AQ$51,6,FALSE)&lt;&gt;"Extreme Heated",
   IF(OR(VLOOKUP(BA$2,'TIS Site Config'!$A$3:$AQ$51,23,FALSE)="BA",
                VLOOKUP(BA$2,'TIS Site Config'!$A$3:$AQ$51,23,FALSE)="AD",
                VLOOKUP(BA$2,'TIS Site Config'!$A$3:$AQ$51,23,FALSE)="DC",
                VLOOKUP(BA$2,'TIS Site Config'!$A$3:$AQ$51,23,FALSE)="CB"),
                         1,0),
0),0)</f>
        <v>1</v>
      </c>
      <c r="BB46" s="134">
        <f>IF(VLOOKUP(BB$2,'TIS Site Config'!$A$4:$AQ$51,3,FALSE)&lt;&gt;"Soft",
IF(VLOOKUP(BB$2,'TIS Site Config'!$A$3:$AQ$51,6,FALSE)&lt;&gt;"Extreme Heated",
   IF(OR(VLOOKUP(BB$2,'TIS Site Config'!$A$3:$AQ$51,23,FALSE)="BA",
                VLOOKUP(BB$2,'TIS Site Config'!$A$3:$AQ$51,23,FALSE)="AD",
                VLOOKUP(BB$2,'TIS Site Config'!$A$3:$AQ$51,23,FALSE)="DC",
                VLOOKUP(BB$2,'TIS Site Config'!$A$3:$AQ$51,23,FALSE)="CB"),
                         1,0),
0),0)</f>
        <v>0</v>
      </c>
      <c r="BC46" s="212">
        <f>IF(VLOOKUP(BC$2,'TIS Site Config'!$A$4:$AQ$51,3,FALSE)&lt;&gt;"Soft",
IF(VLOOKUP(BC$2,'TIS Site Config'!$A$3:$AQ$51,6,FALSE)&lt;&gt;"Extreme Heated",
   IF(OR(VLOOKUP(BC$2,'TIS Site Config'!$A$3:$AQ$51,23,FALSE)="BA",
                VLOOKUP(BC$2,'TIS Site Config'!$A$3:$AQ$51,23,FALSE)="AD",
                VLOOKUP(BC$2,'TIS Site Config'!$A$3:$AQ$51,23,FALSE)="DC",
                VLOOKUP(BC$2,'TIS Site Config'!$A$3:$AQ$51,23,FALSE)="CB"),
                         1,0),
0),0)</f>
        <v>0</v>
      </c>
      <c r="BD46" s="134">
        <f>IF(VLOOKUP(BD$2,'TIS Site Config'!$A$4:$AQ$51,3,FALSE)&lt;&gt;"Soft",
IF(VLOOKUP(BD$2,'TIS Site Config'!$A$3:$AQ$51,6,FALSE)&lt;&gt;"Extreme Heated",
   IF(OR(VLOOKUP(BD$2,'TIS Site Config'!$A$3:$AQ$51,23,FALSE)="BA",
                VLOOKUP(BD$2,'TIS Site Config'!$A$3:$AQ$51,23,FALSE)="AD",
                VLOOKUP(BD$2,'TIS Site Config'!$A$3:$AQ$51,23,FALSE)="DC",
                VLOOKUP(BD$2,'TIS Site Config'!$A$3:$AQ$51,23,FALSE)="CB"),
                         1,0),
0),0)</f>
        <v>0</v>
      </c>
      <c r="BE46" s="309">
        <f>IF(VLOOKUP(BE$2,'TIS Site Config'!$A$4:$AQ$51,3,FALSE)&lt;&gt;"Soft",
IF(VLOOKUP(BE$2,'TIS Site Config'!$A$3:$AQ$51,6,FALSE)&lt;&gt;"Extreme Heated",
   IF(OR(VLOOKUP(BE$2,'TIS Site Config'!$A$3:$AQ$51,23,FALSE)="BA",
                VLOOKUP(BE$2,'TIS Site Config'!$A$3:$AQ$51,23,FALSE)="AD",
                VLOOKUP(BE$2,'TIS Site Config'!$A$3:$AQ$51,23,FALSE)="DC",
                VLOOKUP(BE$2,'TIS Site Config'!$A$3:$AQ$51,23,FALSE)="CB"),
                         1,0),
0),0)</f>
        <v>0</v>
      </c>
      <c r="BF46" s="212">
        <f>IF(VLOOKUP(BF$2,'TIS Site Config'!$A$4:$AQ$51,3,FALSE)&lt;&gt;"Soft",
IF(VLOOKUP(BF$2,'TIS Site Config'!$A$3:$AQ$51,6,FALSE)&lt;&gt;"Extreme Heated",
   IF(OR(VLOOKUP(BF$2,'TIS Site Config'!$A$3:$AQ$51,23,FALSE)="BA",
                VLOOKUP(BF$2,'TIS Site Config'!$A$3:$AQ$51,23,FALSE)="AD",
                VLOOKUP(BF$2,'TIS Site Config'!$A$3:$AQ$51,23,FALSE)="DC",
                VLOOKUP(BF$2,'TIS Site Config'!$A$3:$AQ$51,23,FALSE)="CB"),
                         1,0),
0),0)</f>
        <v>0</v>
      </c>
      <c r="BG46" s="60">
        <f>IF(VLOOKUP(BG$2,'TIS Site Config'!$A$4:$AQ$51,3,FALSE)&lt;&gt;"Soft",
IF(VLOOKUP(BG$2,'TIS Site Config'!$A$3:$AQ$51,6,FALSE)&lt;&gt;"Extreme Heated",
   IF(OR(VLOOKUP(BG$2,'TIS Site Config'!$A$3:$AQ$51,23,FALSE)="BA",
                VLOOKUP(BG$2,'TIS Site Config'!$A$3:$AQ$51,23,FALSE)="AD",
                VLOOKUP(BG$2,'TIS Site Config'!$A$3:$AQ$51,23,FALSE)="DC",
                VLOOKUP(BG$2,'TIS Site Config'!$A$3:$AQ$51,23,FALSE)="CB"),
                         1,0),
0),0)</f>
        <v>0</v>
      </c>
      <c r="BH46" s="60">
        <f>IF(VLOOKUP(BH$2,'TIS Site Config'!$A$4:$AQ$51,3,FALSE)&lt;&gt;"Soft",
IF(VLOOKUP(BH$2,'TIS Site Config'!$A$3:$AQ$51,6,FALSE)&lt;&gt;"Extreme Heated",
   IF(OR(VLOOKUP(BH$2,'TIS Site Config'!$A$3:$AQ$51,23,FALSE)="BA",
                VLOOKUP(BH$2,'TIS Site Config'!$A$3:$AQ$51,23,FALSE)="AD",
                VLOOKUP(BH$2,'TIS Site Config'!$A$3:$AQ$51,23,FALSE)="DC",
                VLOOKUP(BH$2,'TIS Site Config'!$A$3:$AQ$51,23,FALSE)="CB"),
                         1,0),
0),0)</f>
        <v>1</v>
      </c>
      <c r="BK46" s="44">
        <v>26</v>
      </c>
      <c r="BL46" s="950" t="b">
        <f t="shared" ref="BL46:BL72" si="4">F46=BK46</f>
        <v>0</v>
      </c>
      <c r="BO46" s="950"/>
    </row>
    <row r="47" spans="1:67" s="44" customFormat="1" x14ac:dyDescent="0.25">
      <c r="A47" s="1378"/>
      <c r="B47" s="1261"/>
      <c r="C47" s="69" t="s">
        <v>524</v>
      </c>
      <c r="D47" s="91">
        <v>3</v>
      </c>
      <c r="E47" s="85" t="s">
        <v>446</v>
      </c>
      <c r="F47" s="62">
        <f t="shared" si="1"/>
        <v>16</v>
      </c>
      <c r="G47" s="450"/>
      <c r="H47" s="451"/>
      <c r="I47" s="451"/>
      <c r="J47" s="451"/>
      <c r="K47" s="452"/>
      <c r="L47" s="491"/>
      <c r="M47" s="136">
        <f>IF(VLOOKUP(M$2,'TIS Site Config'!$A$4:$AQ$51,3,FALSE)&lt;&gt;"Soft",
   IF(VLOOKUP(M$2,'TIS Site Config'!$A$3:$AQ$51,6,FALSE)&lt;&gt;"Extreme Heated",
   IF(OR(VLOOKUP(M$2,'TIS Site Config'!$A$3:$AQ$51,23,FALSE)="AB",
                VLOOKUP(M$2,'TIS Site Config'!$A$3:$AQ$51,23,FALSE)="BC",
                VLOOKUP(M$2,'TIS Site Config'!$A$3:$AQ$51,23,FALSE)="CD",
                VLOOKUP(M$2,'TIS Site Config'!$A$3:$AQ$51,23,FALSE)="DA"),
                         1,0),
0),0)</f>
        <v>0</v>
      </c>
      <c r="N47" s="222">
        <f>IF(VLOOKUP(N$2,'TIS Site Config'!$A$4:$AQ$51,3,FALSE)&lt;&gt;"Soft",
   IF(VLOOKUP(N$2,'TIS Site Config'!$A$3:$AQ$51,6,FALSE)&lt;&gt;"Extreme Heated",
   IF(OR(VLOOKUP(N$2,'TIS Site Config'!$A$3:$AQ$51,23,FALSE)="AB",
                VLOOKUP(N$2,'TIS Site Config'!$A$3:$AQ$51,23,FALSE)="BC",
                VLOOKUP(N$2,'TIS Site Config'!$A$3:$AQ$51,23,FALSE)="CD",
                VLOOKUP(N$2,'TIS Site Config'!$A$3:$AQ$51,23,FALSE)="DA"),
                         1,0),
0),0)</f>
        <v>0</v>
      </c>
      <c r="O47" s="225">
        <f>IF(VLOOKUP(O$2,'TIS Site Config'!$A$4:$AQ$51,3,FALSE)&lt;&gt;"Soft",
   IF(VLOOKUP(O$2,'TIS Site Config'!$A$3:$AQ$51,6,FALSE)&lt;&gt;"Extreme Heated",
   IF(OR(VLOOKUP(O$2,'TIS Site Config'!$A$3:$AQ$51,23,FALSE)="AB",
                VLOOKUP(O$2,'TIS Site Config'!$A$3:$AQ$51,23,FALSE)="BC",
                VLOOKUP(O$2,'TIS Site Config'!$A$3:$AQ$51,23,FALSE)="CD",
                VLOOKUP(O$2,'TIS Site Config'!$A$3:$AQ$51,23,FALSE)="DA"),
                         1,0),
0),0)</f>
        <v>0</v>
      </c>
      <c r="P47" s="21">
        <f>IF(VLOOKUP(P$2,'TIS Site Config'!$A$4:$AQ$51,3,FALSE)&lt;&gt;"Soft",
   IF(VLOOKUP(P$2,'TIS Site Config'!$A$3:$AQ$51,6,FALSE)&lt;&gt;"Extreme Heated",
   IF(OR(VLOOKUP(P$2,'TIS Site Config'!$A$3:$AQ$51,23,FALSE)="AB",
                VLOOKUP(P$2,'TIS Site Config'!$A$3:$AQ$51,23,FALSE)="BC",
                VLOOKUP(P$2,'TIS Site Config'!$A$3:$AQ$51,23,FALSE)="CD",
                VLOOKUP(P$2,'TIS Site Config'!$A$3:$AQ$51,23,FALSE)="DA"),
                         1,0),
0),0)</f>
        <v>0</v>
      </c>
      <c r="Q47" s="222">
        <f>IF(VLOOKUP(Q$2,'TIS Site Config'!$A$4:$AQ$51,3,FALSE)&lt;&gt;"Soft",
   IF(VLOOKUP(Q$2,'TIS Site Config'!$A$3:$AQ$51,6,FALSE)&lt;&gt;"Extreme Heated",
   IF(OR(VLOOKUP(Q$2,'TIS Site Config'!$A$3:$AQ$51,23,FALSE)="AB",
                VLOOKUP(Q$2,'TIS Site Config'!$A$3:$AQ$51,23,FALSE)="BC",
                VLOOKUP(Q$2,'TIS Site Config'!$A$3:$AQ$51,23,FALSE)="CD",
                VLOOKUP(Q$2,'TIS Site Config'!$A$3:$AQ$51,23,FALSE)="DA"),
                         1,0),
0),0)</f>
        <v>0</v>
      </c>
      <c r="R47" s="136">
        <f>IF(VLOOKUP(R$2,'TIS Site Config'!$A$4:$AQ$51,3,FALSE)&lt;&gt;"Soft",
   IF(VLOOKUP(R$2,'TIS Site Config'!$A$3:$AQ$51,6,FALSE)&lt;&gt;"Extreme Heated",
   IF(OR(VLOOKUP(R$2,'TIS Site Config'!$A$3:$AQ$51,23,FALSE)="AB",
                VLOOKUP(R$2,'TIS Site Config'!$A$3:$AQ$51,23,FALSE)="BC",
                VLOOKUP(R$2,'TIS Site Config'!$A$3:$AQ$51,23,FALSE)="CD",
                VLOOKUP(R$2,'TIS Site Config'!$A$3:$AQ$51,23,FALSE)="DA"),
                         1,0),
0),0)</f>
        <v>1</v>
      </c>
      <c r="S47" s="21">
        <f>IF(VLOOKUP(S$2,'TIS Site Config'!$A$4:$AQ$51,3,FALSE)&lt;&gt;"Soft",
   IF(VLOOKUP(S$2,'TIS Site Config'!$A$3:$AQ$51,6,FALSE)&lt;&gt;"Extreme Heated",
   IF(OR(VLOOKUP(S$2,'TIS Site Config'!$A$3:$AQ$51,23,FALSE)="AB",
                VLOOKUP(S$2,'TIS Site Config'!$A$3:$AQ$51,23,FALSE)="BC",
                VLOOKUP(S$2,'TIS Site Config'!$A$3:$AQ$51,23,FALSE)="CD",
                VLOOKUP(S$2,'TIS Site Config'!$A$3:$AQ$51,23,FALSE)="DA"),
                         1,0),
0),0)</f>
        <v>1</v>
      </c>
      <c r="T47" s="222">
        <f>IF(VLOOKUP(T$2,'TIS Site Config'!$A$4:$AQ$51,3,FALSE)&lt;&gt;"Soft",
   IF(VLOOKUP(T$2,'TIS Site Config'!$A$3:$AQ$51,6,FALSE)&lt;&gt;"Extreme Heated",
   IF(OR(VLOOKUP(T$2,'TIS Site Config'!$A$3:$AQ$51,23,FALSE)="AB",
                VLOOKUP(T$2,'TIS Site Config'!$A$3:$AQ$51,23,FALSE)="BC",
                VLOOKUP(T$2,'TIS Site Config'!$A$3:$AQ$51,23,FALSE)="CD",
                VLOOKUP(T$2,'TIS Site Config'!$A$3:$AQ$51,23,FALSE)="DA"),
                         1,0),
0),0)</f>
        <v>1</v>
      </c>
      <c r="U47" s="136">
        <f>IF(VLOOKUP(U$2,'TIS Site Config'!$A$4:$AQ$51,3,FALSE)&lt;&gt;"Soft",
   IF(VLOOKUP(U$2,'TIS Site Config'!$A$3:$AQ$51,6,FALSE)&lt;&gt;"Extreme Heated",
   IF(OR(VLOOKUP(U$2,'TIS Site Config'!$A$3:$AQ$51,23,FALSE)="AB",
                VLOOKUP(U$2,'TIS Site Config'!$A$3:$AQ$51,23,FALSE)="BC",
                VLOOKUP(U$2,'TIS Site Config'!$A$3:$AQ$51,23,FALSE)="CD",
                VLOOKUP(U$2,'TIS Site Config'!$A$3:$AQ$51,23,FALSE)="DA"),
                         1,0),
0),0)</f>
        <v>1</v>
      </c>
      <c r="V47" s="222">
        <f>IF(VLOOKUP(V$2,'TIS Site Config'!$A$4:$AQ$51,3,FALSE)&lt;&gt;"Soft",
   IF(VLOOKUP(V$2,'TIS Site Config'!$A$3:$AQ$51,6,FALSE)&lt;&gt;"Extreme Heated",
   IF(OR(VLOOKUP(V$2,'TIS Site Config'!$A$3:$AQ$51,23,FALSE)="AB",
                VLOOKUP(V$2,'TIS Site Config'!$A$3:$AQ$51,23,FALSE)="BC",
                VLOOKUP(V$2,'TIS Site Config'!$A$3:$AQ$51,23,FALSE)="CD",
                VLOOKUP(V$2,'TIS Site Config'!$A$3:$AQ$51,23,FALSE)="DA"),
                         1,0),
0),0)</f>
        <v>1</v>
      </c>
      <c r="W47" s="224">
        <f>IF(VLOOKUP(W$2,'TIS Site Config'!$A$4:$AQ$51,3,FALSE)&lt;&gt;"Soft",
   IF(VLOOKUP(W$2,'TIS Site Config'!$A$3:$AQ$51,6,FALSE)&lt;&gt;"Extreme Heated",
   IF(OR(VLOOKUP(W$2,'TIS Site Config'!$A$3:$AQ$51,23,FALSE)="AB",
                VLOOKUP(W$2,'TIS Site Config'!$A$3:$AQ$51,23,FALSE)="BC",
                VLOOKUP(W$2,'TIS Site Config'!$A$3:$AQ$51,23,FALSE)="CD",
                VLOOKUP(W$2,'TIS Site Config'!$A$3:$AQ$51,23,FALSE)="DA"),
                         1,0),
0),0)</f>
        <v>0</v>
      </c>
      <c r="X47" s="21">
        <f>IF(VLOOKUP(X$2,'TIS Site Config'!$A$4:$AQ$51,3,FALSE)&lt;&gt;"Soft",
   IF(VLOOKUP(X$2,'TIS Site Config'!$A$3:$AQ$51,6,FALSE)&lt;&gt;"Extreme Heated",
   IF(OR(VLOOKUP(X$2,'TIS Site Config'!$A$3:$AQ$51,23,FALSE)="AB",
                VLOOKUP(X$2,'TIS Site Config'!$A$3:$AQ$51,23,FALSE)="BC",
                VLOOKUP(X$2,'TIS Site Config'!$A$3:$AQ$51,23,FALSE)="CD",
                VLOOKUP(X$2,'TIS Site Config'!$A$3:$AQ$51,23,FALSE)="DA"),
                         1,0),
0),0)</f>
        <v>0</v>
      </c>
      <c r="Y47" s="222">
        <f>IF(VLOOKUP(Y$2,'TIS Site Config'!$A$4:$AQ$51,3,FALSE)&lt;&gt;"Soft",
   IF(VLOOKUP(Y$2,'TIS Site Config'!$A$3:$AQ$51,6,FALSE)&lt;&gt;"Extreme Heated",
   IF(OR(VLOOKUP(Y$2,'TIS Site Config'!$A$3:$AQ$51,23,FALSE)="AB",
                VLOOKUP(Y$2,'TIS Site Config'!$A$3:$AQ$51,23,FALSE)="BC",
                VLOOKUP(Y$2,'TIS Site Config'!$A$3:$AQ$51,23,FALSE)="CD",
                VLOOKUP(Y$2,'TIS Site Config'!$A$3:$AQ$51,23,FALSE)="DA"),
                         1,0),
0),0)</f>
        <v>0</v>
      </c>
      <c r="Z47" s="136">
        <f>IF(VLOOKUP(Z$2,'TIS Site Config'!$A$4:$AQ$51,3,FALSE)&lt;&gt;"Soft",
   IF(VLOOKUP(Z$2,'TIS Site Config'!$A$3:$AQ$51,6,FALSE)&lt;&gt;"Extreme Heated",
   IF(OR(VLOOKUP(Z$2,'TIS Site Config'!$A$3:$AQ$51,23,FALSE)="AB",
                VLOOKUP(Z$2,'TIS Site Config'!$A$3:$AQ$51,23,FALSE)="BC",
                VLOOKUP(Z$2,'TIS Site Config'!$A$3:$AQ$51,23,FALSE)="CD",
                VLOOKUP(Z$2,'TIS Site Config'!$A$3:$AQ$51,23,FALSE)="DA"),
                         1,0),
0),0)</f>
        <v>0</v>
      </c>
      <c r="AA47" s="21">
        <f>IF(VLOOKUP(AA$2,'TIS Site Config'!$A$4:$AQ$51,3,FALSE)&lt;&gt;"Soft",
   IF(VLOOKUP(AA$2,'TIS Site Config'!$A$3:$AQ$51,6,FALSE)&lt;&gt;"Extreme Heated",
   IF(OR(VLOOKUP(AA$2,'TIS Site Config'!$A$3:$AQ$51,23,FALSE)="AB",
                VLOOKUP(AA$2,'TIS Site Config'!$A$3:$AQ$51,23,FALSE)="BC",
                VLOOKUP(AA$2,'TIS Site Config'!$A$3:$AQ$51,23,FALSE)="CD",
                VLOOKUP(AA$2,'TIS Site Config'!$A$3:$AQ$51,23,FALSE)="DA"),
                         1,0),
0),0)</f>
        <v>0</v>
      </c>
      <c r="AB47" s="222">
        <f>IF(VLOOKUP(AB$2,'TIS Site Config'!$A$4:$AQ$51,3,FALSE)&lt;&gt;"Soft",
   IF(VLOOKUP(AB$2,'TIS Site Config'!$A$3:$AQ$51,6,FALSE)&lt;&gt;"Extreme Heated",
   IF(OR(VLOOKUP(AB$2,'TIS Site Config'!$A$3:$AQ$51,23,FALSE)="AB",
                VLOOKUP(AB$2,'TIS Site Config'!$A$3:$AQ$51,23,FALSE)="BC",
                VLOOKUP(AB$2,'TIS Site Config'!$A$3:$AQ$51,23,FALSE)="CD",
                VLOOKUP(AB$2,'TIS Site Config'!$A$3:$AQ$51,23,FALSE)="DA"),
                         1,0),
0),0)</f>
        <v>0</v>
      </c>
      <c r="AC47" s="21">
        <f>IF(VLOOKUP(AC$2,'TIS Site Config'!$A$4:$AQ$51,3,FALSE)&lt;&gt;"Soft",
   IF(VLOOKUP(AC$2,'TIS Site Config'!$A$3:$AQ$51,6,FALSE)&lt;&gt;"Extreme Heated",
   IF(OR(VLOOKUP(AC$2,'TIS Site Config'!$A$3:$AQ$51,23,FALSE)="AB",
                VLOOKUP(AC$2,'TIS Site Config'!$A$3:$AQ$51,23,FALSE)="BC",
                VLOOKUP(AC$2,'TIS Site Config'!$A$3:$AQ$51,23,FALSE)="CD",
                VLOOKUP(AC$2,'TIS Site Config'!$A$3:$AQ$51,23,FALSE)="DA"),
                         1,0),
0),0)</f>
        <v>1</v>
      </c>
      <c r="AD47" s="223">
        <f>IF(VLOOKUP(AD$2,'TIS Site Config'!$A$4:$AQ$51,3,FALSE)&lt;&gt;"Soft",
   IF(VLOOKUP(AD$2,'TIS Site Config'!$A$3:$AQ$51,6,FALSE)&lt;&gt;"Extreme Heated",
   IF(OR(VLOOKUP(AD$2,'TIS Site Config'!$A$3:$AQ$51,23,FALSE)="AB",
                VLOOKUP(AD$2,'TIS Site Config'!$A$3:$AQ$51,23,FALSE)="BC",
                VLOOKUP(AD$2,'TIS Site Config'!$A$3:$AQ$51,23,FALSE)="CD",
                VLOOKUP(AD$2,'TIS Site Config'!$A$3:$AQ$51,23,FALSE)="DA"),
                         1,0),
0),0)</f>
        <v>1</v>
      </c>
      <c r="AE47" s="223">
        <f>IF(VLOOKUP(AE$2,'TIS Site Config'!$A$4:$AQ$51,3,FALSE)&lt;&gt;"Soft",
   IF(VLOOKUP(AE$2,'TIS Site Config'!$A$3:$AQ$51,6,FALSE)&lt;&gt;"Extreme Heated",
   IF(OR(VLOOKUP(AE$2,'TIS Site Config'!$A$3:$AQ$51,23,FALSE)="AB",
                VLOOKUP(AE$2,'TIS Site Config'!$A$3:$AQ$51,23,FALSE)="BC",
                VLOOKUP(AE$2,'TIS Site Config'!$A$3:$AQ$51,23,FALSE)="CD",
                VLOOKUP(AE$2,'TIS Site Config'!$A$3:$AQ$51,23,FALSE)="DA"),
                         1,0),
0),0)</f>
        <v>1</v>
      </c>
      <c r="AF47" s="16">
        <f>IF(VLOOKUP(AF$2,'TIS Site Config'!$A$4:$AQ$51,3,FALSE)&lt;&gt;"Soft",
   IF(VLOOKUP(AF$2,'TIS Site Config'!$A$3:$AQ$51,6,FALSE)&lt;&gt;"Extreme Heated",
   IF(OR(VLOOKUP(AF$2,'TIS Site Config'!$A$3:$AQ$51,23,FALSE)="AB",
                VLOOKUP(AF$2,'TIS Site Config'!$A$3:$AQ$51,23,FALSE)="BC",
                VLOOKUP(AF$2,'TIS Site Config'!$A$3:$AQ$51,23,FALSE)="CD",
                VLOOKUP(AF$2,'TIS Site Config'!$A$3:$AQ$51,23,FALSE)="DA"),
                         1,0),
0),0)</f>
        <v>0</v>
      </c>
      <c r="AG47" s="21">
        <f>IF(VLOOKUP(AG$2,'TIS Site Config'!$A$4:$AQ$51,3,FALSE)&lt;&gt;"Soft",
   IF(VLOOKUP(AG$2,'TIS Site Config'!$A$3:$AQ$51,6,FALSE)&lt;&gt;"Extreme Heated",
   IF(OR(VLOOKUP(AG$2,'TIS Site Config'!$A$3:$AQ$51,23,FALSE)="AB",
                VLOOKUP(AG$2,'TIS Site Config'!$A$3:$AQ$51,23,FALSE)="BC",
                VLOOKUP(AG$2,'TIS Site Config'!$A$3:$AQ$51,23,FALSE)="CD",
                VLOOKUP(AG$2,'TIS Site Config'!$A$3:$AQ$51,23,FALSE)="DA"),
                         1,0),
0),0)</f>
        <v>1</v>
      </c>
      <c r="AH47" s="222">
        <f>IF(VLOOKUP(AH$2,'TIS Site Config'!$A$4:$AQ$51,3,FALSE)&lt;&gt;"Soft",
   IF(VLOOKUP(AH$2,'TIS Site Config'!$A$3:$AQ$51,6,FALSE)&lt;&gt;"Extreme Heated",
   IF(OR(VLOOKUP(AH$2,'TIS Site Config'!$A$3:$AQ$51,23,FALSE)="AB",
                VLOOKUP(AH$2,'TIS Site Config'!$A$3:$AQ$51,23,FALSE)="BC",
                VLOOKUP(AH$2,'TIS Site Config'!$A$3:$AQ$51,23,FALSE)="CD",
                VLOOKUP(AH$2,'TIS Site Config'!$A$3:$AQ$51,23,FALSE)="DA"),
                         1,0),
0),0)</f>
        <v>0</v>
      </c>
      <c r="AI47" s="136">
        <f>IF(VLOOKUP(AI$2,'TIS Site Config'!$A$4:$AQ$51,3,FALSE)&lt;&gt;"Soft",
   IF(VLOOKUP(AI$2,'TIS Site Config'!$A$3:$AQ$51,6,FALSE)&lt;&gt;"Extreme Heated",
   IF(OR(VLOOKUP(AI$2,'TIS Site Config'!$A$3:$AQ$51,23,FALSE)="AB",
                VLOOKUP(AI$2,'TIS Site Config'!$A$3:$AQ$51,23,FALSE)="BC",
                VLOOKUP(AI$2,'TIS Site Config'!$A$3:$AQ$51,23,FALSE)="CD",
                VLOOKUP(AI$2,'TIS Site Config'!$A$3:$AQ$51,23,FALSE)="DA"),
                         1,0),
0),0)</f>
        <v>0</v>
      </c>
      <c r="AJ47" s="21">
        <f>IF(VLOOKUP(AJ$2,'TIS Site Config'!$A$4:$AQ$51,3,FALSE)&lt;&gt;"Soft",
   IF(VLOOKUP(AJ$2,'TIS Site Config'!$A$3:$AQ$51,6,FALSE)&lt;&gt;"Extreme Heated",
   IF(OR(VLOOKUP(AJ$2,'TIS Site Config'!$A$3:$AQ$51,23,FALSE)="AB",
                VLOOKUP(AJ$2,'TIS Site Config'!$A$3:$AQ$51,23,FALSE)="BC",
                VLOOKUP(AJ$2,'TIS Site Config'!$A$3:$AQ$51,23,FALSE)="CD",
                VLOOKUP(AJ$2,'TIS Site Config'!$A$3:$AQ$51,23,FALSE)="DA"),
                         1,0),
0),0)</f>
        <v>0</v>
      </c>
      <c r="AK47" s="222">
        <f>IF(VLOOKUP(AK$2,'TIS Site Config'!$A$4:$AQ$51,3,FALSE)&lt;&gt;"Soft",
   IF(VLOOKUP(AK$2,'TIS Site Config'!$A$3:$AQ$51,6,FALSE)&lt;&gt;"Extreme Heated",
   IF(OR(VLOOKUP(AK$2,'TIS Site Config'!$A$3:$AQ$51,23,FALSE)="AB",
                VLOOKUP(AK$2,'TIS Site Config'!$A$3:$AQ$51,23,FALSE)="BC",
                VLOOKUP(AK$2,'TIS Site Config'!$A$3:$AQ$51,23,FALSE)="CD",
                VLOOKUP(AK$2,'TIS Site Config'!$A$3:$AQ$51,23,FALSE)="DA"),
                         1,0),
0),0)</f>
        <v>0</v>
      </c>
      <c r="AL47" s="136">
        <f>IF(VLOOKUP(AL$2,'TIS Site Config'!$A$4:$AQ$51,3,FALSE)&lt;&gt;"Soft",
   IF(VLOOKUP(AL$2,'TIS Site Config'!$A$3:$AQ$51,6,FALSE)&lt;&gt;"Extreme Heated",
   IF(OR(VLOOKUP(AL$2,'TIS Site Config'!$A$3:$AQ$51,23,FALSE)="AB",
                VLOOKUP(AL$2,'TIS Site Config'!$A$3:$AQ$51,23,FALSE)="BC",
                VLOOKUP(AL$2,'TIS Site Config'!$A$3:$AQ$51,23,FALSE)="CD",
                VLOOKUP(AL$2,'TIS Site Config'!$A$3:$AQ$51,23,FALSE)="DA"),
                         1,0),
0),0)</f>
        <v>0</v>
      </c>
      <c r="AM47" s="21">
        <f>IF(VLOOKUP(AM$2,'TIS Site Config'!$A$4:$AQ$51,3,FALSE)&lt;&gt;"Soft",
   IF(VLOOKUP(AM$2,'TIS Site Config'!$A$3:$AQ$51,6,FALSE)&lt;&gt;"Extreme Heated",
   IF(OR(VLOOKUP(AM$2,'TIS Site Config'!$A$3:$AQ$51,23,FALSE)="AB",
                VLOOKUP(AM$2,'TIS Site Config'!$A$3:$AQ$51,23,FALSE)="BC",
                VLOOKUP(AM$2,'TIS Site Config'!$A$3:$AQ$51,23,FALSE)="CD",
                VLOOKUP(AM$2,'TIS Site Config'!$A$3:$AQ$51,23,FALSE)="DA"),
                         1,0),
0),0)</f>
        <v>0</v>
      </c>
      <c r="AN47" s="222">
        <f>IF(VLOOKUP(AN$2,'TIS Site Config'!$A$4:$AQ$51,3,FALSE)&lt;&gt;"Soft",
   IF(VLOOKUP(AN$2,'TIS Site Config'!$A$3:$AQ$51,6,FALSE)&lt;&gt;"Extreme Heated",
   IF(OR(VLOOKUP(AN$2,'TIS Site Config'!$A$3:$AQ$51,23,FALSE)="AB",
                VLOOKUP(AN$2,'TIS Site Config'!$A$3:$AQ$51,23,FALSE)="BC",
                VLOOKUP(AN$2,'TIS Site Config'!$A$3:$AQ$51,23,FALSE)="CD",
                VLOOKUP(AN$2,'TIS Site Config'!$A$3:$AQ$51,23,FALSE)="DA"),
                         1,0),
0),0)</f>
        <v>0</v>
      </c>
      <c r="AO47" s="136">
        <f>IF(VLOOKUP(AO$2,'TIS Site Config'!$A$4:$AQ$51,3,FALSE)&lt;&gt;"Soft",
   IF(VLOOKUP(AO$2,'TIS Site Config'!$A$3:$AQ$51,6,FALSE)&lt;&gt;"Extreme Heated",
   IF(OR(VLOOKUP(AO$2,'TIS Site Config'!$A$3:$AQ$51,23,FALSE)="AB",
                VLOOKUP(AO$2,'TIS Site Config'!$A$3:$AQ$51,23,FALSE)="BC",
                VLOOKUP(AO$2,'TIS Site Config'!$A$3:$AQ$51,23,FALSE)="CD",
                VLOOKUP(AO$2,'TIS Site Config'!$A$3:$AQ$51,23,FALSE)="DA"),
                         1,0),
0),0)</f>
        <v>0</v>
      </c>
      <c r="AP47" s="21">
        <f>IF(VLOOKUP(AP$2,'TIS Site Config'!$A$4:$AQ$51,3,FALSE)&lt;&gt;"Soft",
   IF(VLOOKUP(AP$2,'TIS Site Config'!$A$3:$AQ$51,6,FALSE)&lt;&gt;"Extreme Heated",
   IF(OR(VLOOKUP(AP$2,'TIS Site Config'!$A$3:$AQ$51,23,FALSE)="AB",
                VLOOKUP(AP$2,'TIS Site Config'!$A$3:$AQ$51,23,FALSE)="BC",
                VLOOKUP(AP$2,'TIS Site Config'!$A$3:$AQ$51,23,FALSE)="CD",
                VLOOKUP(AP$2,'TIS Site Config'!$A$3:$AQ$51,23,FALSE)="DA"),
                         1,0),
0),0)</f>
        <v>1</v>
      </c>
      <c r="AQ47" s="136">
        <f>IF(VLOOKUP(AQ$2,'TIS Site Config'!$A$4:$AQ$51,3,FALSE)&lt;&gt;"Soft",
   IF(VLOOKUP(AQ$2,'TIS Site Config'!$A$3:$AQ$51,6,FALSE)&lt;&gt;"Extreme Heated",
   IF(OR(VLOOKUP(AQ$2,'TIS Site Config'!$A$3:$AQ$51,23,FALSE)="AB",
                VLOOKUP(AQ$2,'TIS Site Config'!$A$3:$AQ$51,23,FALSE)="BC",
                VLOOKUP(AQ$2,'TIS Site Config'!$A$3:$AQ$51,23,FALSE)="CD",
                VLOOKUP(AQ$2,'TIS Site Config'!$A$3:$AQ$51,23,FALSE)="DA"),
                         1,0),
0),0)</f>
        <v>0</v>
      </c>
      <c r="AR47" s="136">
        <f>IF(VLOOKUP(AR$2,'TIS Site Config'!$A$4:$AQ$51,3,FALSE)&lt;&gt;"Soft",
   IF(VLOOKUP(AR$2,'TIS Site Config'!$A$3:$AQ$51,6,FALSE)&lt;&gt;"Extreme Heated",
   IF(OR(VLOOKUP(AR$2,'TIS Site Config'!$A$3:$AQ$51,23,FALSE)="AB",
                VLOOKUP(AR$2,'TIS Site Config'!$A$3:$AQ$51,23,FALSE)="BC",
                VLOOKUP(AR$2,'TIS Site Config'!$A$3:$AQ$51,23,FALSE)="CD",
                VLOOKUP(AR$2,'TIS Site Config'!$A$3:$AQ$51,23,FALSE)="DA"),
                         1,0),
0),0)</f>
        <v>0</v>
      </c>
      <c r="AS47" s="21">
        <f>IF(VLOOKUP(AS$2,'TIS Site Config'!$A$4:$AQ$51,3,FALSE)&lt;&gt;"Soft",
   IF(VLOOKUP(AS$2,'TIS Site Config'!$A$3:$AQ$51,6,FALSE)&lt;&gt;"Extreme Heated",
   IF(OR(VLOOKUP(AS$2,'TIS Site Config'!$A$3:$AQ$51,23,FALSE)="AB",
                VLOOKUP(AS$2,'TIS Site Config'!$A$3:$AQ$51,23,FALSE)="BC",
                VLOOKUP(AS$2,'TIS Site Config'!$A$3:$AQ$51,23,FALSE)="CD",
                VLOOKUP(AS$2,'TIS Site Config'!$A$3:$AQ$51,23,FALSE)="DA"),
                         1,0),
0),0)</f>
        <v>1</v>
      </c>
      <c r="AT47" s="136">
        <f>IF(VLOOKUP(AT$2,'TIS Site Config'!$A$4:$AQ$51,3,FALSE)&lt;&gt;"Soft",
   IF(VLOOKUP(AT$2,'TIS Site Config'!$A$3:$AQ$51,6,FALSE)&lt;&gt;"Extreme Heated",
   IF(OR(VLOOKUP(AT$2,'TIS Site Config'!$A$3:$AQ$51,23,FALSE)="AB",
                VLOOKUP(AT$2,'TIS Site Config'!$A$3:$AQ$51,23,FALSE)="BC",
                VLOOKUP(AT$2,'TIS Site Config'!$A$3:$AQ$51,23,FALSE)="CD",
                VLOOKUP(AT$2,'TIS Site Config'!$A$3:$AQ$51,23,FALSE)="DA"),
                         1,0),
0),0)</f>
        <v>1</v>
      </c>
      <c r="AU47" s="21">
        <f>IF(VLOOKUP(AU$2,'TIS Site Config'!$A$4:$AQ$51,3,FALSE)&lt;&gt;"Soft",
   IF(VLOOKUP(AU$2,'TIS Site Config'!$A$3:$AQ$51,6,FALSE)&lt;&gt;"Extreme Heated",
   IF(OR(VLOOKUP(AU$2,'TIS Site Config'!$A$3:$AQ$51,23,FALSE)="AB",
                VLOOKUP(AU$2,'TIS Site Config'!$A$3:$AQ$51,23,FALSE)="BC",
                VLOOKUP(AU$2,'TIS Site Config'!$A$3:$AQ$51,23,FALSE)="CD",
                VLOOKUP(AU$2,'TIS Site Config'!$A$3:$AQ$51,23,FALSE)="DA"),
                         1,0),
0),0)</f>
        <v>0</v>
      </c>
      <c r="AV47" s="136">
        <f>IF(VLOOKUP(AV$2,'TIS Site Config'!$A$4:$AQ$51,3,FALSE)&lt;&gt;"Soft",
   IF(VLOOKUP(AV$2,'TIS Site Config'!$A$3:$AQ$51,6,FALSE)&lt;&gt;"Extreme Heated",
   IF(OR(VLOOKUP(AV$2,'TIS Site Config'!$A$3:$AQ$51,23,FALSE)="AB",
                VLOOKUP(AV$2,'TIS Site Config'!$A$3:$AQ$51,23,FALSE)="BC",
                VLOOKUP(AV$2,'TIS Site Config'!$A$3:$AQ$51,23,FALSE)="CD",
                VLOOKUP(AV$2,'TIS Site Config'!$A$3:$AQ$51,23,FALSE)="DA"),
                         1,0),
0),0)</f>
        <v>0</v>
      </c>
      <c r="AW47" s="136">
        <f>IF(VLOOKUP(AW$2,'TIS Site Config'!$A$4:$AQ$51,3,FALSE)&lt;&gt;"Soft",
   IF(VLOOKUP(AW$2,'TIS Site Config'!$A$3:$AQ$51,6,FALSE)&lt;&gt;"Extreme Heated",
   IF(OR(VLOOKUP(AW$2,'TIS Site Config'!$A$3:$AQ$51,23,FALSE)="AB",
                VLOOKUP(AW$2,'TIS Site Config'!$A$3:$AQ$51,23,FALSE)="BC",
                VLOOKUP(AW$2,'TIS Site Config'!$A$3:$AQ$51,23,FALSE)="CD",
                VLOOKUP(AW$2,'TIS Site Config'!$A$3:$AQ$51,23,FALSE)="DA"),
                         1,0),
0),0)</f>
        <v>0</v>
      </c>
      <c r="AX47" s="222">
        <f>IF(VLOOKUP(AX$2,'TIS Site Config'!$A$4:$AQ$51,3,FALSE)&lt;&gt;"Soft",
   IF(VLOOKUP(AX$2,'TIS Site Config'!$A$3:$AQ$51,6,FALSE)&lt;&gt;"Extreme Heated",
   IF(OR(VLOOKUP(AX$2,'TIS Site Config'!$A$3:$AQ$51,23,FALSE)="AB",
                VLOOKUP(AX$2,'TIS Site Config'!$A$3:$AQ$51,23,FALSE)="BC",
                VLOOKUP(AX$2,'TIS Site Config'!$A$3:$AQ$51,23,FALSE)="CD",
                VLOOKUP(AX$2,'TIS Site Config'!$A$3:$AQ$51,23,FALSE)="DA"),
                         1,0),
0),0)</f>
        <v>1</v>
      </c>
      <c r="AY47" s="136">
        <f>IF(VLOOKUP(AY$2,'TIS Site Config'!$A$4:$AQ$51,3,FALSE)&lt;&gt;"Soft",
   IF(VLOOKUP(AY$2,'TIS Site Config'!$A$3:$AQ$51,6,FALSE)&lt;&gt;"Extreme Heated",
   IF(OR(VLOOKUP(AY$2,'TIS Site Config'!$A$3:$AQ$51,23,FALSE)="AB",
                VLOOKUP(AY$2,'TIS Site Config'!$A$3:$AQ$51,23,FALSE)="BC",
                VLOOKUP(AY$2,'TIS Site Config'!$A$3:$AQ$51,23,FALSE)="CD",
                VLOOKUP(AY$2,'TIS Site Config'!$A$3:$AQ$51,23,FALSE)="DA"),
                         1,0),
0),0)</f>
        <v>1</v>
      </c>
      <c r="AZ47" s="21">
        <f>IF(VLOOKUP(AZ$2,'TIS Site Config'!$A$4:$AQ$51,3,FALSE)&lt;&gt;"Soft",
   IF(VLOOKUP(AZ$2,'TIS Site Config'!$A$3:$AQ$51,6,FALSE)&lt;&gt;"Extreme Heated",
   IF(OR(VLOOKUP(AZ$2,'TIS Site Config'!$A$3:$AQ$51,23,FALSE)="AB",
                VLOOKUP(AZ$2,'TIS Site Config'!$A$3:$AQ$51,23,FALSE)="BC",
                VLOOKUP(AZ$2,'TIS Site Config'!$A$3:$AQ$51,23,FALSE)="CD",
                VLOOKUP(AZ$2,'TIS Site Config'!$A$3:$AQ$51,23,FALSE)="DA"),
                         1,0),
0),0)</f>
        <v>1</v>
      </c>
      <c r="BA47" s="223">
        <f>IF(VLOOKUP(BA$2,'TIS Site Config'!$A$4:$AQ$51,3,FALSE)&lt;&gt;"Soft",
   IF(VLOOKUP(BA$2,'TIS Site Config'!$A$3:$AQ$51,6,FALSE)&lt;&gt;"Extreme Heated",
   IF(OR(VLOOKUP(BA$2,'TIS Site Config'!$A$3:$AQ$51,23,FALSE)="AB",
                VLOOKUP(BA$2,'TIS Site Config'!$A$3:$AQ$51,23,FALSE)="BC",
                VLOOKUP(BA$2,'TIS Site Config'!$A$3:$AQ$51,23,FALSE)="CD",
                VLOOKUP(BA$2,'TIS Site Config'!$A$3:$AQ$51,23,FALSE)="DA"),
                         1,0),
0),0)</f>
        <v>0</v>
      </c>
      <c r="BB47" s="136">
        <f>IF(VLOOKUP(BB$2,'TIS Site Config'!$A$4:$AQ$51,3,FALSE)&lt;&gt;"Soft",
   IF(VLOOKUP(BB$2,'TIS Site Config'!$A$3:$AQ$51,6,FALSE)&lt;&gt;"Extreme Heated",
   IF(OR(VLOOKUP(BB$2,'TIS Site Config'!$A$3:$AQ$51,23,FALSE)="AB",
                VLOOKUP(BB$2,'TIS Site Config'!$A$3:$AQ$51,23,FALSE)="BC",
                VLOOKUP(BB$2,'TIS Site Config'!$A$3:$AQ$51,23,FALSE)="CD",
                VLOOKUP(BB$2,'TIS Site Config'!$A$3:$AQ$51,23,FALSE)="DA"),
                         1,0),
0),0)</f>
        <v>0</v>
      </c>
      <c r="BC47" s="222">
        <f>IF(VLOOKUP(BC$2,'TIS Site Config'!$A$4:$AQ$51,3,FALSE)&lt;&gt;"Soft",
   IF(VLOOKUP(BC$2,'TIS Site Config'!$A$3:$AQ$51,6,FALSE)&lt;&gt;"Extreme Heated",
   IF(OR(VLOOKUP(BC$2,'TIS Site Config'!$A$3:$AQ$51,23,FALSE)="AB",
                VLOOKUP(BC$2,'TIS Site Config'!$A$3:$AQ$51,23,FALSE)="BC",
                VLOOKUP(BC$2,'TIS Site Config'!$A$3:$AQ$51,23,FALSE)="CD",
                VLOOKUP(BC$2,'TIS Site Config'!$A$3:$AQ$51,23,FALSE)="DA"),
                         1,0),
0),0)</f>
        <v>0</v>
      </c>
      <c r="BD47" s="136">
        <f>IF(VLOOKUP(BD$2,'TIS Site Config'!$A$4:$AQ$51,3,FALSE)&lt;&gt;"Soft",
   IF(VLOOKUP(BD$2,'TIS Site Config'!$A$3:$AQ$51,6,FALSE)&lt;&gt;"Extreme Heated",
   IF(OR(VLOOKUP(BD$2,'TIS Site Config'!$A$3:$AQ$51,23,FALSE)="AB",
                VLOOKUP(BD$2,'TIS Site Config'!$A$3:$AQ$51,23,FALSE)="BC",
                VLOOKUP(BD$2,'TIS Site Config'!$A$3:$AQ$51,23,FALSE)="CD",
                VLOOKUP(BD$2,'TIS Site Config'!$A$3:$AQ$51,23,FALSE)="DA"),
                         1,0),
0),0)</f>
        <v>0</v>
      </c>
      <c r="BE47" s="21">
        <f>IF(VLOOKUP(BE$2,'TIS Site Config'!$A$4:$AQ$51,3,FALSE)&lt;&gt;"Soft",
   IF(VLOOKUP(BE$2,'TIS Site Config'!$A$3:$AQ$51,6,FALSE)&lt;&gt;"Extreme Heated",
   IF(OR(VLOOKUP(BE$2,'TIS Site Config'!$A$3:$AQ$51,23,FALSE)="AB",
                VLOOKUP(BE$2,'TIS Site Config'!$A$3:$AQ$51,23,FALSE)="BC",
                VLOOKUP(BE$2,'TIS Site Config'!$A$3:$AQ$51,23,FALSE)="CD",
                VLOOKUP(BE$2,'TIS Site Config'!$A$3:$AQ$51,23,FALSE)="DA"),
                         1,0),
0),0)</f>
        <v>0</v>
      </c>
      <c r="BF47" s="222">
        <f>IF(VLOOKUP(BF$2,'TIS Site Config'!$A$4:$AQ$51,3,FALSE)&lt;&gt;"Soft",
   IF(VLOOKUP(BF$2,'TIS Site Config'!$A$3:$AQ$51,6,FALSE)&lt;&gt;"Extreme Heated",
   IF(OR(VLOOKUP(BF$2,'TIS Site Config'!$A$3:$AQ$51,23,FALSE)="AB",
                VLOOKUP(BF$2,'TIS Site Config'!$A$3:$AQ$51,23,FALSE)="BC",
                VLOOKUP(BF$2,'TIS Site Config'!$A$3:$AQ$51,23,FALSE)="CD",
                VLOOKUP(BF$2,'TIS Site Config'!$A$3:$AQ$51,23,FALSE)="DA"),
                         1,0),
0),0)</f>
        <v>0</v>
      </c>
      <c r="BG47" s="62">
        <f>IF(VLOOKUP(BG$2,'TIS Site Config'!$A$4:$AQ$51,3,FALSE)&lt;&gt;"Soft",
   IF(VLOOKUP(BG$2,'TIS Site Config'!$A$3:$AQ$51,6,FALSE)&lt;&gt;"Extreme Heated",
   IF(OR(VLOOKUP(BG$2,'TIS Site Config'!$A$3:$AQ$51,23,FALSE)="AB",
                VLOOKUP(BG$2,'TIS Site Config'!$A$3:$AQ$51,23,FALSE)="BC",
                VLOOKUP(BG$2,'TIS Site Config'!$A$3:$AQ$51,23,FALSE)="CD",
                VLOOKUP(BG$2,'TIS Site Config'!$A$3:$AQ$51,23,FALSE)="DA"),
                         1,0),
0),0)</f>
        <v>1</v>
      </c>
      <c r="BH47" s="62">
        <f>IF(VLOOKUP(BH$2,'TIS Site Config'!$A$4:$AQ$51,3,FALSE)&lt;&gt;"Soft",
   IF(VLOOKUP(BH$2,'TIS Site Config'!$A$3:$AQ$51,6,FALSE)&lt;&gt;"Extreme Heated",
   IF(OR(VLOOKUP(BH$2,'TIS Site Config'!$A$3:$AQ$51,23,FALSE)="AB",
                VLOOKUP(BH$2,'TIS Site Config'!$A$3:$AQ$51,23,FALSE)="BC",
                VLOOKUP(BH$2,'TIS Site Config'!$A$3:$AQ$51,23,FALSE)="CD",
                VLOOKUP(BH$2,'TIS Site Config'!$A$3:$AQ$51,23,FALSE)="DA"),
                         1,0),
0),0)</f>
        <v>0</v>
      </c>
      <c r="BK47" s="44">
        <v>20</v>
      </c>
      <c r="BL47" s="950" t="b">
        <f t="shared" si="4"/>
        <v>0</v>
      </c>
      <c r="BO47" s="950"/>
    </row>
    <row r="48" spans="1:67" s="44" customFormat="1" x14ac:dyDescent="0.25">
      <c r="A48" s="1378"/>
      <c r="B48" s="1261"/>
      <c r="C48" s="61" t="s">
        <v>525</v>
      </c>
      <c r="D48" s="62">
        <v>4</v>
      </c>
      <c r="E48" s="85" t="s">
        <v>527</v>
      </c>
      <c r="F48" s="62">
        <f t="shared" si="1"/>
        <v>2</v>
      </c>
      <c r="G48" s="450"/>
      <c r="H48" s="451"/>
      <c r="I48" s="451"/>
      <c r="J48" s="451"/>
      <c r="K48" s="452"/>
      <c r="L48" s="491"/>
      <c r="M48" s="136">
        <f>IF(VLOOKUP(M$2,'TIS Site Config'!$A$4:$AQ$51,3,FALSE)&lt;&gt;"Soft",
   IF(VLOOKUP(M$2,'TIS Site Config'!$A$3:$AQ$51,6,FALSE)="Extreme Heated",
   IF(OR(VLOOKUP(M$2,'TIS Site Config'!$A$3:$AQ$51,23,FALSE)="BA",
                VLOOKUP(M$2,'TIS Site Config'!$A$3:$AQ$51,23,FALSE)="AD",
                VLOOKUP(M$2,'TIS Site Config'!$A$3:$AQ$51,23,FALSE)="DC",
                VLOOKUP(M$2,'TIS Site Config'!$A$3:$AQ$51,23,FALSE)="CB"),
                         1,0),
0),0)</f>
        <v>0</v>
      </c>
      <c r="N48" s="222">
        <f>IF(VLOOKUP(N$2,'TIS Site Config'!$A$4:$AQ$51,3,FALSE)&lt;&gt;"Soft",
   IF(VLOOKUP(N$2,'TIS Site Config'!$A$3:$AQ$51,6,FALSE)="Extreme Heated",
   IF(OR(VLOOKUP(N$2,'TIS Site Config'!$A$3:$AQ$51,23,FALSE)="BA",
                VLOOKUP(N$2,'TIS Site Config'!$A$3:$AQ$51,23,FALSE)="AD",
                VLOOKUP(N$2,'TIS Site Config'!$A$3:$AQ$51,23,FALSE)="DC",
                VLOOKUP(N$2,'TIS Site Config'!$A$3:$AQ$51,23,FALSE)="CB"),
                         1,0),
0),0)</f>
        <v>0</v>
      </c>
      <c r="O48" s="225">
        <f>IF(VLOOKUP(O$2,'TIS Site Config'!$A$4:$AQ$51,3,FALSE)&lt;&gt;"Soft",
   IF(VLOOKUP(O$2,'TIS Site Config'!$A$3:$AQ$51,6,FALSE)="Extreme Heated",
   IF(OR(VLOOKUP(O$2,'TIS Site Config'!$A$3:$AQ$51,23,FALSE)="BA",
                VLOOKUP(O$2,'TIS Site Config'!$A$3:$AQ$51,23,FALSE)="AD",
                VLOOKUP(O$2,'TIS Site Config'!$A$3:$AQ$51,23,FALSE)="DC",
                VLOOKUP(O$2,'TIS Site Config'!$A$3:$AQ$51,23,FALSE)="CB"),
                         1,0),
0),0)</f>
        <v>0</v>
      </c>
      <c r="P48" s="21">
        <f>IF(VLOOKUP(P$2,'TIS Site Config'!$A$4:$AQ$51,3,FALSE)&lt;&gt;"Soft",
   IF(VLOOKUP(P$2,'TIS Site Config'!$A$3:$AQ$51,6,FALSE)="Extreme Heated",
   IF(OR(VLOOKUP(P$2,'TIS Site Config'!$A$3:$AQ$51,23,FALSE)="BA",
                VLOOKUP(P$2,'TIS Site Config'!$A$3:$AQ$51,23,FALSE)="AD",
                VLOOKUP(P$2,'TIS Site Config'!$A$3:$AQ$51,23,FALSE)="DC",
                VLOOKUP(P$2,'TIS Site Config'!$A$3:$AQ$51,23,FALSE)="CB"),
                         1,0),
0),0)</f>
        <v>0</v>
      </c>
      <c r="Q48" s="222">
        <f>IF(VLOOKUP(Q$2,'TIS Site Config'!$A$4:$AQ$51,3,FALSE)&lt;&gt;"Soft",
   IF(VLOOKUP(Q$2,'TIS Site Config'!$A$3:$AQ$51,6,FALSE)="Extreme Heated",
   IF(OR(VLOOKUP(Q$2,'TIS Site Config'!$A$3:$AQ$51,23,FALSE)="BA",
                VLOOKUP(Q$2,'TIS Site Config'!$A$3:$AQ$51,23,FALSE)="AD",
                VLOOKUP(Q$2,'TIS Site Config'!$A$3:$AQ$51,23,FALSE)="DC",
                VLOOKUP(Q$2,'TIS Site Config'!$A$3:$AQ$51,23,FALSE)="CB"),
                         1,0),
0),0)</f>
        <v>0</v>
      </c>
      <c r="R48" s="136">
        <f>IF(VLOOKUP(R$2,'TIS Site Config'!$A$4:$AQ$51,3,FALSE)&lt;&gt;"Soft",
   IF(VLOOKUP(R$2,'TIS Site Config'!$A$3:$AQ$51,6,FALSE)="Extreme Heated",
   IF(OR(VLOOKUP(R$2,'TIS Site Config'!$A$3:$AQ$51,23,FALSE)="BA",
                VLOOKUP(R$2,'TIS Site Config'!$A$3:$AQ$51,23,FALSE)="AD",
                VLOOKUP(R$2,'TIS Site Config'!$A$3:$AQ$51,23,FALSE)="DC",
                VLOOKUP(R$2,'TIS Site Config'!$A$3:$AQ$51,23,FALSE)="CB"),
                         1,0),
0),0)</f>
        <v>0</v>
      </c>
      <c r="S48" s="21">
        <f>IF(VLOOKUP(S$2,'TIS Site Config'!$A$4:$AQ$51,3,FALSE)&lt;&gt;"Soft",
   IF(VLOOKUP(S$2,'TIS Site Config'!$A$3:$AQ$51,6,FALSE)="Extreme Heated",
   IF(OR(VLOOKUP(S$2,'TIS Site Config'!$A$3:$AQ$51,23,FALSE)="BA",
                VLOOKUP(S$2,'TIS Site Config'!$A$3:$AQ$51,23,FALSE)="AD",
                VLOOKUP(S$2,'TIS Site Config'!$A$3:$AQ$51,23,FALSE)="DC",
                VLOOKUP(S$2,'TIS Site Config'!$A$3:$AQ$51,23,FALSE)="CB"),
                         1,0),
0),0)</f>
        <v>0</v>
      </c>
      <c r="T48" s="222">
        <f>IF(VLOOKUP(T$2,'TIS Site Config'!$A$4:$AQ$51,3,FALSE)&lt;&gt;"Soft",
   IF(VLOOKUP(T$2,'TIS Site Config'!$A$3:$AQ$51,6,FALSE)="Extreme Heated",
   IF(OR(VLOOKUP(T$2,'TIS Site Config'!$A$3:$AQ$51,23,FALSE)="BA",
                VLOOKUP(T$2,'TIS Site Config'!$A$3:$AQ$51,23,FALSE)="AD",
                VLOOKUP(T$2,'TIS Site Config'!$A$3:$AQ$51,23,FALSE)="DC",
                VLOOKUP(T$2,'TIS Site Config'!$A$3:$AQ$51,23,FALSE)="CB"),
                         1,0),
0),0)</f>
        <v>0</v>
      </c>
      <c r="U48" s="136">
        <f>IF(VLOOKUP(U$2,'TIS Site Config'!$A$4:$AQ$51,3,FALSE)&lt;&gt;"Soft",
   IF(VLOOKUP(U$2,'TIS Site Config'!$A$3:$AQ$51,6,FALSE)="Extreme Heated",
   IF(OR(VLOOKUP(U$2,'TIS Site Config'!$A$3:$AQ$51,23,FALSE)="BA",
                VLOOKUP(U$2,'TIS Site Config'!$A$3:$AQ$51,23,FALSE)="AD",
                VLOOKUP(U$2,'TIS Site Config'!$A$3:$AQ$51,23,FALSE)="DC",
                VLOOKUP(U$2,'TIS Site Config'!$A$3:$AQ$51,23,FALSE)="CB"),
                         1,0),
0),0)</f>
        <v>0</v>
      </c>
      <c r="V48" s="222">
        <f>IF(VLOOKUP(V$2,'TIS Site Config'!$A$4:$AQ$51,3,FALSE)&lt;&gt;"Soft",
   IF(VLOOKUP(V$2,'TIS Site Config'!$A$3:$AQ$51,6,FALSE)="Extreme Heated",
   IF(OR(VLOOKUP(V$2,'TIS Site Config'!$A$3:$AQ$51,23,FALSE)="BA",
                VLOOKUP(V$2,'TIS Site Config'!$A$3:$AQ$51,23,FALSE)="AD",
                VLOOKUP(V$2,'TIS Site Config'!$A$3:$AQ$51,23,FALSE)="DC",
                VLOOKUP(V$2,'TIS Site Config'!$A$3:$AQ$51,23,FALSE)="CB"),
                         1,0),
0),0)</f>
        <v>0</v>
      </c>
      <c r="W48" s="224">
        <f>IF(VLOOKUP(W$2,'TIS Site Config'!$A$4:$AQ$51,3,FALSE)&lt;&gt;"Soft",
   IF(VLOOKUP(W$2,'TIS Site Config'!$A$3:$AQ$51,6,FALSE)="Extreme Heated",
   IF(OR(VLOOKUP(W$2,'TIS Site Config'!$A$3:$AQ$51,23,FALSE)="BA",
                VLOOKUP(W$2,'TIS Site Config'!$A$3:$AQ$51,23,FALSE)="AD",
                VLOOKUP(W$2,'TIS Site Config'!$A$3:$AQ$51,23,FALSE)="DC",
                VLOOKUP(W$2,'TIS Site Config'!$A$3:$AQ$51,23,FALSE)="CB"),
                         1,0),
0),0)</f>
        <v>0</v>
      </c>
      <c r="X48" s="21">
        <f>IF(VLOOKUP(X$2,'TIS Site Config'!$A$4:$AQ$51,3,FALSE)&lt;&gt;"Soft",
   IF(VLOOKUP(X$2,'TIS Site Config'!$A$3:$AQ$51,6,FALSE)="Extreme Heated",
   IF(OR(VLOOKUP(X$2,'TIS Site Config'!$A$3:$AQ$51,23,FALSE)="BA",
                VLOOKUP(X$2,'TIS Site Config'!$A$3:$AQ$51,23,FALSE)="AD",
                VLOOKUP(X$2,'TIS Site Config'!$A$3:$AQ$51,23,FALSE)="DC",
                VLOOKUP(X$2,'TIS Site Config'!$A$3:$AQ$51,23,FALSE)="CB"),
                         1,0),
0),0)</f>
        <v>0</v>
      </c>
      <c r="Y48" s="222">
        <f>IF(VLOOKUP(Y$2,'TIS Site Config'!$A$4:$AQ$51,3,FALSE)&lt;&gt;"Soft",
   IF(VLOOKUP(Y$2,'TIS Site Config'!$A$3:$AQ$51,6,FALSE)="Extreme Heated",
   IF(OR(VLOOKUP(Y$2,'TIS Site Config'!$A$3:$AQ$51,23,FALSE)="BA",
                VLOOKUP(Y$2,'TIS Site Config'!$A$3:$AQ$51,23,FALSE)="AD",
                VLOOKUP(Y$2,'TIS Site Config'!$A$3:$AQ$51,23,FALSE)="DC",
                VLOOKUP(Y$2,'TIS Site Config'!$A$3:$AQ$51,23,FALSE)="CB"),
                         1,0),
0),0)</f>
        <v>0</v>
      </c>
      <c r="Z48" s="136">
        <f>IF(VLOOKUP(Z$2,'TIS Site Config'!$A$4:$AQ$51,3,FALSE)&lt;&gt;"Soft",
   IF(VLOOKUP(Z$2,'TIS Site Config'!$A$3:$AQ$51,6,FALSE)="Extreme Heated",
   IF(OR(VLOOKUP(Z$2,'TIS Site Config'!$A$3:$AQ$51,23,FALSE)="BA",
                VLOOKUP(Z$2,'TIS Site Config'!$A$3:$AQ$51,23,FALSE)="AD",
                VLOOKUP(Z$2,'TIS Site Config'!$A$3:$AQ$51,23,FALSE)="DC",
                VLOOKUP(Z$2,'TIS Site Config'!$A$3:$AQ$51,23,FALSE)="CB"),
                         1,0),
0),0)</f>
        <v>0</v>
      </c>
      <c r="AA48" s="21">
        <f>IF(VLOOKUP(AA$2,'TIS Site Config'!$A$4:$AQ$51,3,FALSE)&lt;&gt;"Soft",
   IF(VLOOKUP(AA$2,'TIS Site Config'!$A$3:$AQ$51,6,FALSE)="Extreme Heated",
   IF(OR(VLOOKUP(AA$2,'TIS Site Config'!$A$3:$AQ$51,23,FALSE)="BA",
                VLOOKUP(AA$2,'TIS Site Config'!$A$3:$AQ$51,23,FALSE)="AD",
                VLOOKUP(AA$2,'TIS Site Config'!$A$3:$AQ$51,23,FALSE)="DC",
                VLOOKUP(AA$2,'TIS Site Config'!$A$3:$AQ$51,23,FALSE)="CB"),
                         1,0),
0),0)</f>
        <v>0</v>
      </c>
      <c r="AB48" s="222">
        <f>IF(VLOOKUP(AB$2,'TIS Site Config'!$A$4:$AQ$51,3,FALSE)&lt;&gt;"Soft",
   IF(VLOOKUP(AB$2,'TIS Site Config'!$A$3:$AQ$51,6,FALSE)="Extreme Heated",
   IF(OR(VLOOKUP(AB$2,'TIS Site Config'!$A$3:$AQ$51,23,FALSE)="BA",
                VLOOKUP(AB$2,'TIS Site Config'!$A$3:$AQ$51,23,FALSE)="AD",
                VLOOKUP(AB$2,'TIS Site Config'!$A$3:$AQ$51,23,FALSE)="DC",
                VLOOKUP(AB$2,'TIS Site Config'!$A$3:$AQ$51,23,FALSE)="CB"),
                         1,0),
0),0)</f>
        <v>0</v>
      </c>
      <c r="AC48" s="21">
        <f>IF(VLOOKUP(AC$2,'TIS Site Config'!$A$4:$AQ$51,3,FALSE)&lt;&gt;"Soft",
   IF(VLOOKUP(AC$2,'TIS Site Config'!$A$3:$AQ$51,6,FALSE)="Extreme Heated",
   IF(OR(VLOOKUP(AC$2,'TIS Site Config'!$A$3:$AQ$51,23,FALSE)="BA",
                VLOOKUP(AC$2,'TIS Site Config'!$A$3:$AQ$51,23,FALSE)="AD",
                VLOOKUP(AC$2,'TIS Site Config'!$A$3:$AQ$51,23,FALSE)="DC",
                VLOOKUP(AC$2,'TIS Site Config'!$A$3:$AQ$51,23,FALSE)="CB"),
                         1,0),
0),0)</f>
        <v>0</v>
      </c>
      <c r="AD48" s="223">
        <f>IF(VLOOKUP(AD$2,'TIS Site Config'!$A$4:$AQ$51,3,FALSE)&lt;&gt;"Soft",
   IF(VLOOKUP(AD$2,'TIS Site Config'!$A$3:$AQ$51,6,FALSE)="Extreme Heated",
   IF(OR(VLOOKUP(AD$2,'TIS Site Config'!$A$3:$AQ$51,23,FALSE)="BA",
                VLOOKUP(AD$2,'TIS Site Config'!$A$3:$AQ$51,23,FALSE)="AD",
                VLOOKUP(AD$2,'TIS Site Config'!$A$3:$AQ$51,23,FALSE)="DC",
                VLOOKUP(AD$2,'TIS Site Config'!$A$3:$AQ$51,23,FALSE)="CB"),
                         1,0),
0),0)</f>
        <v>0</v>
      </c>
      <c r="AE48" s="223">
        <f>IF(VLOOKUP(AE$2,'TIS Site Config'!$A$4:$AQ$51,3,FALSE)&lt;&gt;"Soft",
   IF(VLOOKUP(AE$2,'TIS Site Config'!$A$3:$AQ$51,6,FALSE)="Extreme Heated",
   IF(OR(VLOOKUP(AE$2,'TIS Site Config'!$A$3:$AQ$51,23,FALSE)="BA",
                VLOOKUP(AE$2,'TIS Site Config'!$A$3:$AQ$51,23,FALSE)="AD",
                VLOOKUP(AE$2,'TIS Site Config'!$A$3:$AQ$51,23,FALSE)="DC",
                VLOOKUP(AE$2,'TIS Site Config'!$A$3:$AQ$51,23,FALSE)="CB"),
                         1,0),
0),0)</f>
        <v>0</v>
      </c>
      <c r="AF48" s="16">
        <f>IF(VLOOKUP(AF$2,'TIS Site Config'!$A$4:$AQ$51,3,FALSE)&lt;&gt;"Soft",
   IF(VLOOKUP(AF$2,'TIS Site Config'!$A$3:$AQ$51,6,FALSE)="Extreme Heated",
   IF(OR(VLOOKUP(AF$2,'TIS Site Config'!$A$3:$AQ$51,23,FALSE)="BA",
                VLOOKUP(AF$2,'TIS Site Config'!$A$3:$AQ$51,23,FALSE)="AD",
                VLOOKUP(AF$2,'TIS Site Config'!$A$3:$AQ$51,23,FALSE)="DC",
                VLOOKUP(AF$2,'TIS Site Config'!$A$3:$AQ$51,23,FALSE)="CB"),
                         1,0),
0),0)</f>
        <v>0</v>
      </c>
      <c r="AG48" s="21">
        <f>IF(VLOOKUP(AG$2,'TIS Site Config'!$A$4:$AQ$51,3,FALSE)&lt;&gt;"Soft",
   IF(VLOOKUP(AG$2,'TIS Site Config'!$A$3:$AQ$51,6,FALSE)="Extreme Heated",
   IF(OR(VLOOKUP(AG$2,'TIS Site Config'!$A$3:$AQ$51,23,FALSE)="BA",
                VLOOKUP(AG$2,'TIS Site Config'!$A$3:$AQ$51,23,FALSE)="AD",
                VLOOKUP(AG$2,'TIS Site Config'!$A$3:$AQ$51,23,FALSE)="DC",
                VLOOKUP(AG$2,'TIS Site Config'!$A$3:$AQ$51,23,FALSE)="CB"),
                         1,0),
0),0)</f>
        <v>0</v>
      </c>
      <c r="AH48" s="222">
        <f>IF(VLOOKUP(AH$2,'TIS Site Config'!$A$4:$AQ$51,3,FALSE)&lt;&gt;"Soft",
   IF(VLOOKUP(AH$2,'TIS Site Config'!$A$3:$AQ$51,6,FALSE)="Extreme Heated",
   IF(OR(VLOOKUP(AH$2,'TIS Site Config'!$A$3:$AQ$51,23,FALSE)="BA",
                VLOOKUP(AH$2,'TIS Site Config'!$A$3:$AQ$51,23,FALSE)="AD",
                VLOOKUP(AH$2,'TIS Site Config'!$A$3:$AQ$51,23,FALSE)="DC",
                VLOOKUP(AH$2,'TIS Site Config'!$A$3:$AQ$51,23,FALSE)="CB"),
                         1,0),
0),0)</f>
        <v>0</v>
      </c>
      <c r="AI48" s="136">
        <f>IF(VLOOKUP(AI$2,'TIS Site Config'!$A$4:$AQ$51,3,FALSE)&lt;&gt;"Soft",
   IF(VLOOKUP(AI$2,'TIS Site Config'!$A$3:$AQ$51,6,FALSE)="Extreme Heated",
   IF(OR(VLOOKUP(AI$2,'TIS Site Config'!$A$3:$AQ$51,23,FALSE)="BA",
                VLOOKUP(AI$2,'TIS Site Config'!$A$3:$AQ$51,23,FALSE)="AD",
                VLOOKUP(AI$2,'TIS Site Config'!$A$3:$AQ$51,23,FALSE)="DC",
                VLOOKUP(AI$2,'TIS Site Config'!$A$3:$AQ$51,23,FALSE)="CB"),
                         1,0),
0),0)</f>
        <v>0</v>
      </c>
      <c r="AJ48" s="21">
        <f>IF(VLOOKUP(AJ$2,'TIS Site Config'!$A$4:$AQ$51,3,FALSE)&lt;&gt;"Soft",
   IF(VLOOKUP(AJ$2,'TIS Site Config'!$A$3:$AQ$51,6,FALSE)="Extreme Heated",
   IF(OR(VLOOKUP(AJ$2,'TIS Site Config'!$A$3:$AQ$51,23,FALSE)="BA",
                VLOOKUP(AJ$2,'TIS Site Config'!$A$3:$AQ$51,23,FALSE)="AD",
                VLOOKUP(AJ$2,'TIS Site Config'!$A$3:$AQ$51,23,FALSE)="DC",
                VLOOKUP(AJ$2,'TIS Site Config'!$A$3:$AQ$51,23,FALSE)="CB"),
                         1,0),
0),0)</f>
        <v>0</v>
      </c>
      <c r="AK48" s="222">
        <f>IF(VLOOKUP(AK$2,'TIS Site Config'!$A$4:$AQ$51,3,FALSE)&lt;&gt;"Soft",
   IF(VLOOKUP(AK$2,'TIS Site Config'!$A$3:$AQ$51,6,FALSE)="Extreme Heated",
   IF(OR(VLOOKUP(AK$2,'TIS Site Config'!$A$3:$AQ$51,23,FALSE)="BA",
                VLOOKUP(AK$2,'TIS Site Config'!$A$3:$AQ$51,23,FALSE)="AD",
                VLOOKUP(AK$2,'TIS Site Config'!$A$3:$AQ$51,23,FALSE)="DC",
                VLOOKUP(AK$2,'TIS Site Config'!$A$3:$AQ$51,23,FALSE)="CB"),
                         1,0),
0),0)</f>
        <v>0</v>
      </c>
      <c r="AL48" s="136">
        <f>IF(VLOOKUP(AL$2,'TIS Site Config'!$A$4:$AQ$51,3,FALSE)&lt;&gt;"Soft",
   IF(VLOOKUP(AL$2,'TIS Site Config'!$A$3:$AQ$51,6,FALSE)="Extreme Heated",
   IF(OR(VLOOKUP(AL$2,'TIS Site Config'!$A$3:$AQ$51,23,FALSE)="BA",
                VLOOKUP(AL$2,'TIS Site Config'!$A$3:$AQ$51,23,FALSE)="AD",
                VLOOKUP(AL$2,'TIS Site Config'!$A$3:$AQ$51,23,FALSE)="DC",
                VLOOKUP(AL$2,'TIS Site Config'!$A$3:$AQ$51,23,FALSE)="CB"),
                         1,0),
0),0)</f>
        <v>0</v>
      </c>
      <c r="AM48" s="21">
        <f>IF(VLOOKUP(AM$2,'TIS Site Config'!$A$4:$AQ$51,3,FALSE)&lt;&gt;"Soft",
   IF(VLOOKUP(AM$2,'TIS Site Config'!$A$3:$AQ$51,6,FALSE)="Extreme Heated",
   IF(OR(VLOOKUP(AM$2,'TIS Site Config'!$A$3:$AQ$51,23,FALSE)="BA",
                VLOOKUP(AM$2,'TIS Site Config'!$A$3:$AQ$51,23,FALSE)="AD",
                VLOOKUP(AM$2,'TIS Site Config'!$A$3:$AQ$51,23,FALSE)="DC",
                VLOOKUP(AM$2,'TIS Site Config'!$A$3:$AQ$51,23,FALSE)="CB"),
                         1,0),
0),0)</f>
        <v>0</v>
      </c>
      <c r="AN48" s="222">
        <f>IF(VLOOKUP(AN$2,'TIS Site Config'!$A$4:$AQ$51,3,FALSE)&lt;&gt;"Soft",
   IF(VLOOKUP(AN$2,'TIS Site Config'!$A$3:$AQ$51,6,FALSE)="Extreme Heated",
   IF(OR(VLOOKUP(AN$2,'TIS Site Config'!$A$3:$AQ$51,23,FALSE)="BA",
                VLOOKUP(AN$2,'TIS Site Config'!$A$3:$AQ$51,23,FALSE)="AD",
                VLOOKUP(AN$2,'TIS Site Config'!$A$3:$AQ$51,23,FALSE)="DC",
                VLOOKUP(AN$2,'TIS Site Config'!$A$3:$AQ$51,23,FALSE)="CB"),
                         1,0),
0),0)</f>
        <v>0</v>
      </c>
      <c r="AO48" s="136">
        <f>IF(VLOOKUP(AO$2,'TIS Site Config'!$A$4:$AQ$51,3,FALSE)&lt;&gt;"Soft",
   IF(VLOOKUP(AO$2,'TIS Site Config'!$A$3:$AQ$51,6,FALSE)="Extreme Heated",
   IF(OR(VLOOKUP(AO$2,'TIS Site Config'!$A$3:$AQ$51,23,FALSE)="BA",
                VLOOKUP(AO$2,'TIS Site Config'!$A$3:$AQ$51,23,FALSE)="AD",
                VLOOKUP(AO$2,'TIS Site Config'!$A$3:$AQ$51,23,FALSE)="DC",
                VLOOKUP(AO$2,'TIS Site Config'!$A$3:$AQ$51,23,FALSE)="CB"),
                         1,0),
0),0)</f>
        <v>0</v>
      </c>
      <c r="AP48" s="21">
        <f>IF(VLOOKUP(AP$2,'TIS Site Config'!$A$4:$AQ$51,3,FALSE)&lt;&gt;"Soft",
   IF(VLOOKUP(AP$2,'TIS Site Config'!$A$3:$AQ$51,6,FALSE)="Extreme Heated",
   IF(OR(VLOOKUP(AP$2,'TIS Site Config'!$A$3:$AQ$51,23,FALSE)="BA",
                VLOOKUP(AP$2,'TIS Site Config'!$A$3:$AQ$51,23,FALSE)="AD",
                VLOOKUP(AP$2,'TIS Site Config'!$A$3:$AQ$51,23,FALSE)="DC",
                VLOOKUP(AP$2,'TIS Site Config'!$A$3:$AQ$51,23,FALSE)="CB"),
                         1,0),
0),0)</f>
        <v>0</v>
      </c>
      <c r="AQ48" s="136">
        <f>IF(VLOOKUP(AQ$2,'TIS Site Config'!$A$4:$AQ$51,3,FALSE)&lt;&gt;"Soft",
   IF(VLOOKUP(AQ$2,'TIS Site Config'!$A$3:$AQ$51,6,FALSE)="Extreme Heated",
   IF(OR(VLOOKUP(AQ$2,'TIS Site Config'!$A$3:$AQ$51,23,FALSE)="BA",
                VLOOKUP(AQ$2,'TIS Site Config'!$A$3:$AQ$51,23,FALSE)="AD",
                VLOOKUP(AQ$2,'TIS Site Config'!$A$3:$AQ$51,23,FALSE)="DC",
                VLOOKUP(AQ$2,'TIS Site Config'!$A$3:$AQ$51,23,FALSE)="CB"),
                         1,0),
0),0)</f>
        <v>0</v>
      </c>
      <c r="AR48" s="136">
        <f>IF(VLOOKUP(AR$2,'TIS Site Config'!$A$4:$AQ$51,3,FALSE)&lt;&gt;"Soft",
   IF(VLOOKUP(AR$2,'TIS Site Config'!$A$3:$AQ$51,6,FALSE)="Extreme Heated",
   IF(OR(VLOOKUP(AR$2,'TIS Site Config'!$A$3:$AQ$51,23,FALSE)="BA",
                VLOOKUP(AR$2,'TIS Site Config'!$A$3:$AQ$51,23,FALSE)="AD",
                VLOOKUP(AR$2,'TIS Site Config'!$A$3:$AQ$51,23,FALSE)="DC",
                VLOOKUP(AR$2,'TIS Site Config'!$A$3:$AQ$51,23,FALSE)="CB"),
                         1,0),
0),0)</f>
        <v>1</v>
      </c>
      <c r="AS48" s="21">
        <f>IF(VLOOKUP(AS$2,'TIS Site Config'!$A$4:$AQ$51,3,FALSE)&lt;&gt;"Soft",
   IF(VLOOKUP(AS$2,'TIS Site Config'!$A$3:$AQ$51,6,FALSE)="Extreme Heated",
   IF(OR(VLOOKUP(AS$2,'TIS Site Config'!$A$3:$AQ$51,23,FALSE)="BA",
                VLOOKUP(AS$2,'TIS Site Config'!$A$3:$AQ$51,23,FALSE)="AD",
                VLOOKUP(AS$2,'TIS Site Config'!$A$3:$AQ$51,23,FALSE)="DC",
                VLOOKUP(AS$2,'TIS Site Config'!$A$3:$AQ$51,23,FALSE)="CB"),
                         1,0),
0),0)</f>
        <v>0</v>
      </c>
      <c r="AT48" s="136">
        <f>IF(VLOOKUP(AT$2,'TIS Site Config'!$A$4:$AQ$51,3,FALSE)&lt;&gt;"Soft",
   IF(VLOOKUP(AT$2,'TIS Site Config'!$A$3:$AQ$51,6,FALSE)="Extreme Heated",
   IF(OR(VLOOKUP(AT$2,'TIS Site Config'!$A$3:$AQ$51,23,FALSE)="BA",
                VLOOKUP(AT$2,'TIS Site Config'!$A$3:$AQ$51,23,FALSE)="AD",
                VLOOKUP(AT$2,'TIS Site Config'!$A$3:$AQ$51,23,FALSE)="DC",
                VLOOKUP(AT$2,'TIS Site Config'!$A$3:$AQ$51,23,FALSE)="CB"),
                         1,0),
0),0)</f>
        <v>0</v>
      </c>
      <c r="AU48" s="21">
        <f>IF(VLOOKUP(AU$2,'TIS Site Config'!$A$4:$AQ$51,3,FALSE)&lt;&gt;"Soft",
   IF(VLOOKUP(AU$2,'TIS Site Config'!$A$3:$AQ$51,6,FALSE)="Extreme Heated",
   IF(OR(VLOOKUP(AU$2,'TIS Site Config'!$A$3:$AQ$51,23,FALSE)="BA",
                VLOOKUP(AU$2,'TIS Site Config'!$A$3:$AQ$51,23,FALSE)="AD",
                VLOOKUP(AU$2,'TIS Site Config'!$A$3:$AQ$51,23,FALSE)="DC",
                VLOOKUP(AU$2,'TIS Site Config'!$A$3:$AQ$51,23,FALSE)="CB"),
                         1,0),
0),0)</f>
        <v>0</v>
      </c>
      <c r="AV48" s="136">
        <f>IF(VLOOKUP(AV$2,'TIS Site Config'!$A$4:$AQ$51,3,FALSE)&lt;&gt;"Soft",
   IF(VLOOKUP(AV$2,'TIS Site Config'!$A$3:$AQ$51,6,FALSE)="Extreme Heated",
   IF(OR(VLOOKUP(AV$2,'TIS Site Config'!$A$3:$AQ$51,23,FALSE)="BA",
                VLOOKUP(AV$2,'TIS Site Config'!$A$3:$AQ$51,23,FALSE)="AD",
                VLOOKUP(AV$2,'TIS Site Config'!$A$3:$AQ$51,23,FALSE)="DC",
                VLOOKUP(AV$2,'TIS Site Config'!$A$3:$AQ$51,23,FALSE)="CB"),
                         1,0),
0),0)</f>
        <v>0</v>
      </c>
      <c r="AW48" s="136">
        <f>IF(VLOOKUP(AW$2,'TIS Site Config'!$A$4:$AQ$51,3,FALSE)&lt;&gt;"Soft",
   IF(VLOOKUP(AW$2,'TIS Site Config'!$A$3:$AQ$51,6,FALSE)="Extreme Heated",
   IF(OR(VLOOKUP(AW$2,'TIS Site Config'!$A$3:$AQ$51,23,FALSE)="BA",
                VLOOKUP(AW$2,'TIS Site Config'!$A$3:$AQ$51,23,FALSE)="AD",
                VLOOKUP(AW$2,'TIS Site Config'!$A$3:$AQ$51,23,FALSE)="DC",
                VLOOKUP(AW$2,'TIS Site Config'!$A$3:$AQ$51,23,FALSE)="CB"),
                         1,0),
0),0)</f>
        <v>0</v>
      </c>
      <c r="AX48" s="222">
        <f>IF(VLOOKUP(AX$2,'TIS Site Config'!$A$4:$AQ$51,3,FALSE)&lt;&gt;"Soft",
   IF(VLOOKUP(AX$2,'TIS Site Config'!$A$3:$AQ$51,6,FALSE)="Extreme Heated",
   IF(OR(VLOOKUP(AX$2,'TIS Site Config'!$A$3:$AQ$51,23,FALSE)="BA",
                VLOOKUP(AX$2,'TIS Site Config'!$A$3:$AQ$51,23,FALSE)="AD",
                VLOOKUP(AX$2,'TIS Site Config'!$A$3:$AQ$51,23,FALSE)="DC",
                VLOOKUP(AX$2,'TIS Site Config'!$A$3:$AQ$51,23,FALSE)="CB"),
                         1,0),
0),0)</f>
        <v>0</v>
      </c>
      <c r="AY48" s="136">
        <f>IF(VLOOKUP(AY$2,'TIS Site Config'!$A$4:$AQ$51,3,FALSE)&lt;&gt;"Soft",
   IF(VLOOKUP(AY$2,'TIS Site Config'!$A$3:$AQ$51,6,FALSE)="Extreme Heated",
   IF(OR(VLOOKUP(AY$2,'TIS Site Config'!$A$3:$AQ$51,23,FALSE)="BA",
                VLOOKUP(AY$2,'TIS Site Config'!$A$3:$AQ$51,23,FALSE)="AD",
                VLOOKUP(AY$2,'TIS Site Config'!$A$3:$AQ$51,23,FALSE)="DC",
                VLOOKUP(AY$2,'TIS Site Config'!$A$3:$AQ$51,23,FALSE)="CB"),
                         1,0),
0),0)</f>
        <v>0</v>
      </c>
      <c r="AZ48" s="21">
        <f>IF(VLOOKUP(AZ$2,'TIS Site Config'!$A$4:$AQ$51,3,FALSE)&lt;&gt;"Soft",
   IF(VLOOKUP(AZ$2,'TIS Site Config'!$A$3:$AQ$51,6,FALSE)="Extreme Heated",
   IF(OR(VLOOKUP(AZ$2,'TIS Site Config'!$A$3:$AQ$51,23,FALSE)="BA",
                VLOOKUP(AZ$2,'TIS Site Config'!$A$3:$AQ$51,23,FALSE)="AD",
                VLOOKUP(AZ$2,'TIS Site Config'!$A$3:$AQ$51,23,FALSE)="DC",
                VLOOKUP(AZ$2,'TIS Site Config'!$A$3:$AQ$51,23,FALSE)="CB"),
                         1,0),
0),0)</f>
        <v>0</v>
      </c>
      <c r="BA48" s="223">
        <f>IF(VLOOKUP(BA$2,'TIS Site Config'!$A$4:$AQ$51,3,FALSE)&lt;&gt;"Soft",
   IF(VLOOKUP(BA$2,'TIS Site Config'!$A$3:$AQ$51,6,FALSE)="Extreme Heated",
   IF(OR(VLOOKUP(BA$2,'TIS Site Config'!$A$3:$AQ$51,23,FALSE)="BA",
                VLOOKUP(BA$2,'TIS Site Config'!$A$3:$AQ$51,23,FALSE)="AD",
                VLOOKUP(BA$2,'TIS Site Config'!$A$3:$AQ$51,23,FALSE)="DC",
                VLOOKUP(BA$2,'TIS Site Config'!$A$3:$AQ$51,23,FALSE)="CB"),
                         1,0),
0),0)</f>
        <v>0</v>
      </c>
      <c r="BB48" s="136">
        <f>IF(VLOOKUP(BB$2,'TIS Site Config'!$A$4:$AQ$51,3,FALSE)&lt;&gt;"Soft",
   IF(VLOOKUP(BB$2,'TIS Site Config'!$A$3:$AQ$51,6,FALSE)="Extreme Heated",
   IF(OR(VLOOKUP(BB$2,'TIS Site Config'!$A$3:$AQ$51,23,FALSE)="BA",
                VLOOKUP(BB$2,'TIS Site Config'!$A$3:$AQ$51,23,FALSE)="AD",
                VLOOKUP(BB$2,'TIS Site Config'!$A$3:$AQ$51,23,FALSE)="DC",
                VLOOKUP(BB$2,'TIS Site Config'!$A$3:$AQ$51,23,FALSE)="CB"),
                         1,0),
0),0)</f>
        <v>1</v>
      </c>
      <c r="BC48" s="222">
        <f>IF(VLOOKUP(BC$2,'TIS Site Config'!$A$4:$AQ$51,3,FALSE)&lt;&gt;"Soft",
   IF(VLOOKUP(BC$2,'TIS Site Config'!$A$3:$AQ$51,6,FALSE)="Extreme Heated",
   IF(OR(VLOOKUP(BC$2,'TIS Site Config'!$A$3:$AQ$51,23,FALSE)="BA",
                VLOOKUP(BC$2,'TIS Site Config'!$A$3:$AQ$51,23,FALSE)="AD",
                VLOOKUP(BC$2,'TIS Site Config'!$A$3:$AQ$51,23,FALSE)="DC",
                VLOOKUP(BC$2,'TIS Site Config'!$A$3:$AQ$51,23,FALSE)="CB"),
                         1,0),
0),0)</f>
        <v>0</v>
      </c>
      <c r="BD48" s="136">
        <f>IF(VLOOKUP(BD$2,'TIS Site Config'!$A$4:$AQ$51,3,FALSE)&lt;&gt;"Soft",
   IF(VLOOKUP(BD$2,'TIS Site Config'!$A$3:$AQ$51,6,FALSE)="Extreme Heated",
   IF(OR(VLOOKUP(BD$2,'TIS Site Config'!$A$3:$AQ$51,23,FALSE)="BA",
                VLOOKUP(BD$2,'TIS Site Config'!$A$3:$AQ$51,23,FALSE)="AD",
                VLOOKUP(BD$2,'TIS Site Config'!$A$3:$AQ$51,23,FALSE)="DC",
                VLOOKUP(BD$2,'TIS Site Config'!$A$3:$AQ$51,23,FALSE)="CB"),
                         1,0),
0),0)</f>
        <v>0</v>
      </c>
      <c r="BE48" s="21">
        <f>IF(VLOOKUP(BE$2,'TIS Site Config'!$A$4:$AQ$51,3,FALSE)&lt;&gt;"Soft",
   IF(VLOOKUP(BE$2,'TIS Site Config'!$A$3:$AQ$51,6,FALSE)="Extreme Heated",
   IF(OR(VLOOKUP(BE$2,'TIS Site Config'!$A$3:$AQ$51,23,FALSE)="BA",
                VLOOKUP(BE$2,'TIS Site Config'!$A$3:$AQ$51,23,FALSE)="AD",
                VLOOKUP(BE$2,'TIS Site Config'!$A$3:$AQ$51,23,FALSE)="DC",
                VLOOKUP(BE$2,'TIS Site Config'!$A$3:$AQ$51,23,FALSE)="CB"),
                         1,0),
0),0)</f>
        <v>0</v>
      </c>
      <c r="BF48" s="222">
        <f>IF(VLOOKUP(BF$2,'TIS Site Config'!$A$4:$AQ$51,3,FALSE)&lt;&gt;"Soft",
   IF(VLOOKUP(BF$2,'TIS Site Config'!$A$3:$AQ$51,6,FALSE)="Extreme Heated",
   IF(OR(VLOOKUP(BF$2,'TIS Site Config'!$A$3:$AQ$51,23,FALSE)="BA",
                VLOOKUP(BF$2,'TIS Site Config'!$A$3:$AQ$51,23,FALSE)="AD",
                VLOOKUP(BF$2,'TIS Site Config'!$A$3:$AQ$51,23,FALSE)="DC",
                VLOOKUP(BF$2,'TIS Site Config'!$A$3:$AQ$51,23,FALSE)="CB"),
                         1,0),
0),0)</f>
        <v>0</v>
      </c>
      <c r="BG48" s="62">
        <f>IF(VLOOKUP(BG$2,'TIS Site Config'!$A$4:$AQ$51,3,FALSE)&lt;&gt;"Soft",
   IF(VLOOKUP(BG$2,'TIS Site Config'!$A$3:$AQ$51,6,FALSE)="Extreme Heated",
   IF(OR(VLOOKUP(BG$2,'TIS Site Config'!$A$3:$AQ$51,23,FALSE)="BA",
                VLOOKUP(BG$2,'TIS Site Config'!$A$3:$AQ$51,23,FALSE)="AD",
                VLOOKUP(BG$2,'TIS Site Config'!$A$3:$AQ$51,23,FALSE)="DC",
                VLOOKUP(BG$2,'TIS Site Config'!$A$3:$AQ$51,23,FALSE)="CB"),
                         1,0),
0),0)</f>
        <v>0</v>
      </c>
      <c r="BH48" s="62">
        <f>IF(VLOOKUP(BH$2,'TIS Site Config'!$A$4:$AQ$51,3,FALSE)&lt;&gt;"Soft",
   IF(VLOOKUP(BH$2,'TIS Site Config'!$A$3:$AQ$51,6,FALSE)="Extreme Heated",
   IF(OR(VLOOKUP(BH$2,'TIS Site Config'!$A$3:$AQ$51,23,FALSE)="BA",
                VLOOKUP(BH$2,'TIS Site Config'!$A$3:$AQ$51,23,FALSE)="AD",
                VLOOKUP(BH$2,'TIS Site Config'!$A$3:$AQ$51,23,FALSE)="DC",
                VLOOKUP(BH$2,'TIS Site Config'!$A$3:$AQ$51,23,FALSE)="CB"),
                         1,0),
0),0)</f>
        <v>0</v>
      </c>
      <c r="BK48" s="44">
        <v>2</v>
      </c>
      <c r="BL48" s="950" t="b">
        <f t="shared" si="4"/>
        <v>1</v>
      </c>
      <c r="BO48" s="950"/>
    </row>
    <row r="49" spans="1:67" s="44" customFormat="1" ht="15.75" thickBot="1" x14ac:dyDescent="0.3">
      <c r="A49" s="1378"/>
      <c r="B49" s="1261"/>
      <c r="C49" s="61" t="s">
        <v>526</v>
      </c>
      <c r="D49" s="62">
        <v>4</v>
      </c>
      <c r="E49" s="85" t="s">
        <v>528</v>
      </c>
      <c r="F49" s="62">
        <f t="shared" si="1"/>
        <v>4</v>
      </c>
      <c r="G49" s="450"/>
      <c r="H49" s="451"/>
      <c r="I49" s="451"/>
      <c r="J49" s="451"/>
      <c r="K49" s="452"/>
      <c r="L49" s="491"/>
      <c r="M49" s="136">
        <f>IF(VLOOKUP(M$2,'TIS Site Config'!$A$4:$AQ$51,3,FALSE)&lt;&gt;"Soft",
   IF(VLOOKUP(M$2,'TIS Site Config'!$A$3:$AQ$51,6,FALSE)="Extreme Heated",
   IF(OR(VLOOKUP(M$2,'TIS Site Config'!$A$3:$AQ$51,23,FALSE)="AB",
                VLOOKUP(M$2,'TIS Site Config'!$A$3:$AQ$51,23,FALSE)="BC",
                VLOOKUP(M$2,'TIS Site Config'!$A$3:$AQ$51,23,FALSE)="CD",
                VLOOKUP(M$2,'TIS Site Config'!$A$3:$AQ$51,23,FALSE)="DA"),
                         1,0),
0),0)</f>
        <v>0</v>
      </c>
      <c r="N49" s="222">
        <f>IF(VLOOKUP(N$2,'TIS Site Config'!$A$4:$AQ$51,3,FALSE)&lt;&gt;"Soft",
   IF(VLOOKUP(N$2,'TIS Site Config'!$A$3:$AQ$51,6,FALSE)="Extreme Heated",
   IF(OR(VLOOKUP(N$2,'TIS Site Config'!$A$3:$AQ$51,23,FALSE)="AB",
                VLOOKUP(N$2,'TIS Site Config'!$A$3:$AQ$51,23,FALSE)="BC",
                VLOOKUP(N$2,'TIS Site Config'!$A$3:$AQ$51,23,FALSE)="CD",
                VLOOKUP(N$2,'TIS Site Config'!$A$3:$AQ$51,23,FALSE)="DA"),
                         1,0),
0),0)</f>
        <v>0</v>
      </c>
      <c r="O49" s="225">
        <f>IF(VLOOKUP(O$2,'TIS Site Config'!$A$4:$AQ$51,3,FALSE)&lt;&gt;"Soft",
   IF(VLOOKUP(O$2,'TIS Site Config'!$A$3:$AQ$51,6,FALSE)="Extreme Heated",
   IF(OR(VLOOKUP(O$2,'TIS Site Config'!$A$3:$AQ$51,23,FALSE)="AB",
                VLOOKUP(O$2,'TIS Site Config'!$A$3:$AQ$51,23,FALSE)="BC",
                VLOOKUP(O$2,'TIS Site Config'!$A$3:$AQ$51,23,FALSE)="CD",
                VLOOKUP(O$2,'TIS Site Config'!$A$3:$AQ$51,23,FALSE)="DA"),
                         1,0),
0),0)</f>
        <v>0</v>
      </c>
      <c r="P49" s="21">
        <f>IF(VLOOKUP(P$2,'TIS Site Config'!$A$4:$AQ$51,3,FALSE)&lt;&gt;"Soft",
   IF(VLOOKUP(P$2,'TIS Site Config'!$A$3:$AQ$51,6,FALSE)="Extreme Heated",
   IF(OR(VLOOKUP(P$2,'TIS Site Config'!$A$3:$AQ$51,23,FALSE)="AB",
                VLOOKUP(P$2,'TIS Site Config'!$A$3:$AQ$51,23,FALSE)="BC",
                VLOOKUP(P$2,'TIS Site Config'!$A$3:$AQ$51,23,FALSE)="CD",
                VLOOKUP(P$2,'TIS Site Config'!$A$3:$AQ$51,23,FALSE)="DA"),
                         1,0),
0),0)</f>
        <v>0</v>
      </c>
      <c r="Q49" s="222">
        <f>IF(VLOOKUP(Q$2,'TIS Site Config'!$A$4:$AQ$51,3,FALSE)&lt;&gt;"Soft",
   IF(VLOOKUP(Q$2,'TIS Site Config'!$A$3:$AQ$51,6,FALSE)="Extreme Heated",
   IF(OR(VLOOKUP(Q$2,'TIS Site Config'!$A$3:$AQ$51,23,FALSE)="AB",
                VLOOKUP(Q$2,'TIS Site Config'!$A$3:$AQ$51,23,FALSE)="BC",
                VLOOKUP(Q$2,'TIS Site Config'!$A$3:$AQ$51,23,FALSE)="CD",
                VLOOKUP(Q$2,'TIS Site Config'!$A$3:$AQ$51,23,FALSE)="DA"),
                         1,0),
0),0)</f>
        <v>0</v>
      </c>
      <c r="R49" s="136">
        <f>IF(VLOOKUP(R$2,'TIS Site Config'!$A$4:$AQ$51,3,FALSE)&lt;&gt;"Soft",
   IF(VLOOKUP(R$2,'TIS Site Config'!$A$3:$AQ$51,6,FALSE)="Extreme Heated",
   IF(OR(VLOOKUP(R$2,'TIS Site Config'!$A$3:$AQ$51,23,FALSE)="AB",
                VLOOKUP(R$2,'TIS Site Config'!$A$3:$AQ$51,23,FALSE)="BC",
                VLOOKUP(R$2,'TIS Site Config'!$A$3:$AQ$51,23,FALSE)="CD",
                VLOOKUP(R$2,'TIS Site Config'!$A$3:$AQ$51,23,FALSE)="DA"),
                         1,0),
0),0)</f>
        <v>0</v>
      </c>
      <c r="S49" s="21">
        <f>IF(VLOOKUP(S$2,'TIS Site Config'!$A$4:$AQ$51,3,FALSE)&lt;&gt;"Soft",
   IF(VLOOKUP(S$2,'TIS Site Config'!$A$3:$AQ$51,6,FALSE)="Extreme Heated",
   IF(OR(VLOOKUP(S$2,'TIS Site Config'!$A$3:$AQ$51,23,FALSE)="AB",
                VLOOKUP(S$2,'TIS Site Config'!$A$3:$AQ$51,23,FALSE)="BC",
                VLOOKUP(S$2,'TIS Site Config'!$A$3:$AQ$51,23,FALSE)="CD",
                VLOOKUP(S$2,'TIS Site Config'!$A$3:$AQ$51,23,FALSE)="DA"),
                         1,0),
0),0)</f>
        <v>0</v>
      </c>
      <c r="T49" s="222">
        <f>IF(VLOOKUP(T$2,'TIS Site Config'!$A$4:$AQ$51,3,FALSE)&lt;&gt;"Soft",
   IF(VLOOKUP(T$2,'TIS Site Config'!$A$3:$AQ$51,6,FALSE)="Extreme Heated",
   IF(OR(VLOOKUP(T$2,'TIS Site Config'!$A$3:$AQ$51,23,FALSE)="AB",
                VLOOKUP(T$2,'TIS Site Config'!$A$3:$AQ$51,23,FALSE)="BC",
                VLOOKUP(T$2,'TIS Site Config'!$A$3:$AQ$51,23,FALSE)="CD",
                VLOOKUP(T$2,'TIS Site Config'!$A$3:$AQ$51,23,FALSE)="DA"),
                         1,0),
0),0)</f>
        <v>0</v>
      </c>
      <c r="U49" s="136">
        <f>IF(VLOOKUP(U$2,'TIS Site Config'!$A$4:$AQ$51,3,FALSE)&lt;&gt;"Soft",
   IF(VLOOKUP(U$2,'TIS Site Config'!$A$3:$AQ$51,6,FALSE)="Extreme Heated",
   IF(OR(VLOOKUP(U$2,'TIS Site Config'!$A$3:$AQ$51,23,FALSE)="AB",
                VLOOKUP(U$2,'TIS Site Config'!$A$3:$AQ$51,23,FALSE)="BC",
                VLOOKUP(U$2,'TIS Site Config'!$A$3:$AQ$51,23,FALSE)="CD",
                VLOOKUP(U$2,'TIS Site Config'!$A$3:$AQ$51,23,FALSE)="DA"),
                         1,0),
0),0)</f>
        <v>0</v>
      </c>
      <c r="V49" s="222">
        <f>IF(VLOOKUP(V$2,'TIS Site Config'!$A$4:$AQ$51,3,FALSE)&lt;&gt;"Soft",
   IF(VLOOKUP(V$2,'TIS Site Config'!$A$3:$AQ$51,6,FALSE)="Extreme Heated",
   IF(OR(VLOOKUP(V$2,'TIS Site Config'!$A$3:$AQ$51,23,FALSE)="AB",
                VLOOKUP(V$2,'TIS Site Config'!$A$3:$AQ$51,23,FALSE)="BC",
                VLOOKUP(V$2,'TIS Site Config'!$A$3:$AQ$51,23,FALSE)="CD",
                VLOOKUP(V$2,'TIS Site Config'!$A$3:$AQ$51,23,FALSE)="DA"),
                         1,0),
0),0)</f>
        <v>0</v>
      </c>
      <c r="W49" s="224">
        <f>IF(VLOOKUP(W$2,'TIS Site Config'!$A$4:$AQ$51,3,FALSE)&lt;&gt;"Soft",
   IF(VLOOKUP(W$2,'TIS Site Config'!$A$3:$AQ$51,6,FALSE)="Extreme Heated",
   IF(OR(VLOOKUP(W$2,'TIS Site Config'!$A$3:$AQ$51,23,FALSE)="AB",
                VLOOKUP(W$2,'TIS Site Config'!$A$3:$AQ$51,23,FALSE)="BC",
                VLOOKUP(W$2,'TIS Site Config'!$A$3:$AQ$51,23,FALSE)="CD",
                VLOOKUP(W$2,'TIS Site Config'!$A$3:$AQ$51,23,FALSE)="DA"),
                         1,0),
0),0)</f>
        <v>0</v>
      </c>
      <c r="X49" s="21">
        <f>IF(VLOOKUP(X$2,'TIS Site Config'!$A$4:$AQ$51,3,FALSE)&lt;&gt;"Soft",
   IF(VLOOKUP(X$2,'TIS Site Config'!$A$3:$AQ$51,6,FALSE)="Extreme Heated",
   IF(OR(VLOOKUP(X$2,'TIS Site Config'!$A$3:$AQ$51,23,FALSE)="AB",
                VLOOKUP(X$2,'TIS Site Config'!$A$3:$AQ$51,23,FALSE)="BC",
                VLOOKUP(X$2,'TIS Site Config'!$A$3:$AQ$51,23,FALSE)="CD",
                VLOOKUP(X$2,'TIS Site Config'!$A$3:$AQ$51,23,FALSE)="DA"),
                         1,0),
0),0)</f>
        <v>0</v>
      </c>
      <c r="Y49" s="222">
        <f>IF(VLOOKUP(Y$2,'TIS Site Config'!$A$4:$AQ$51,3,FALSE)&lt;&gt;"Soft",
   IF(VLOOKUP(Y$2,'TIS Site Config'!$A$3:$AQ$51,6,FALSE)="Extreme Heated",
   IF(OR(VLOOKUP(Y$2,'TIS Site Config'!$A$3:$AQ$51,23,FALSE)="AB",
                VLOOKUP(Y$2,'TIS Site Config'!$A$3:$AQ$51,23,FALSE)="BC",
                VLOOKUP(Y$2,'TIS Site Config'!$A$3:$AQ$51,23,FALSE)="CD",
                VLOOKUP(Y$2,'TIS Site Config'!$A$3:$AQ$51,23,FALSE)="DA"),
                         1,0),
0),0)</f>
        <v>0</v>
      </c>
      <c r="Z49" s="136">
        <f>IF(VLOOKUP(Z$2,'TIS Site Config'!$A$4:$AQ$51,3,FALSE)&lt;&gt;"Soft",
   IF(VLOOKUP(Z$2,'TIS Site Config'!$A$3:$AQ$51,6,FALSE)="Extreme Heated",
   IF(OR(VLOOKUP(Z$2,'TIS Site Config'!$A$3:$AQ$51,23,FALSE)="AB",
                VLOOKUP(Z$2,'TIS Site Config'!$A$3:$AQ$51,23,FALSE)="BC",
                VLOOKUP(Z$2,'TIS Site Config'!$A$3:$AQ$51,23,FALSE)="CD",
                VLOOKUP(Z$2,'TIS Site Config'!$A$3:$AQ$51,23,FALSE)="DA"),
                         1,0),
0),0)</f>
        <v>0</v>
      </c>
      <c r="AA49" s="21">
        <f>IF(VLOOKUP(AA$2,'TIS Site Config'!$A$4:$AQ$51,3,FALSE)&lt;&gt;"Soft",
   IF(VLOOKUP(AA$2,'TIS Site Config'!$A$3:$AQ$51,6,FALSE)="Extreme Heated",
   IF(OR(VLOOKUP(AA$2,'TIS Site Config'!$A$3:$AQ$51,23,FALSE)="AB",
                VLOOKUP(AA$2,'TIS Site Config'!$A$3:$AQ$51,23,FALSE)="BC",
                VLOOKUP(AA$2,'TIS Site Config'!$A$3:$AQ$51,23,FALSE)="CD",
                VLOOKUP(AA$2,'TIS Site Config'!$A$3:$AQ$51,23,FALSE)="DA"),
                         1,0),
0),0)</f>
        <v>0</v>
      </c>
      <c r="AB49" s="222">
        <f>IF(VLOOKUP(AB$2,'TIS Site Config'!$A$4:$AQ$51,3,FALSE)&lt;&gt;"Soft",
   IF(VLOOKUP(AB$2,'TIS Site Config'!$A$3:$AQ$51,6,FALSE)="Extreme Heated",
   IF(OR(VLOOKUP(AB$2,'TIS Site Config'!$A$3:$AQ$51,23,FALSE)="AB",
                VLOOKUP(AB$2,'TIS Site Config'!$A$3:$AQ$51,23,FALSE)="BC",
                VLOOKUP(AB$2,'TIS Site Config'!$A$3:$AQ$51,23,FALSE)="CD",
                VLOOKUP(AB$2,'TIS Site Config'!$A$3:$AQ$51,23,FALSE)="DA"),
                         1,0),
0),0)</f>
        <v>0</v>
      </c>
      <c r="AC49" s="21">
        <f>IF(VLOOKUP(AC$2,'TIS Site Config'!$A$4:$AQ$51,3,FALSE)&lt;&gt;"Soft",
   IF(VLOOKUP(AC$2,'TIS Site Config'!$A$3:$AQ$51,6,FALSE)="Extreme Heated",
   IF(OR(VLOOKUP(AC$2,'TIS Site Config'!$A$3:$AQ$51,23,FALSE)="AB",
                VLOOKUP(AC$2,'TIS Site Config'!$A$3:$AQ$51,23,FALSE)="BC",
                VLOOKUP(AC$2,'TIS Site Config'!$A$3:$AQ$51,23,FALSE)="CD",
                VLOOKUP(AC$2,'TIS Site Config'!$A$3:$AQ$51,23,FALSE)="DA"),
                         1,0),
0),0)</f>
        <v>0</v>
      </c>
      <c r="AD49" s="223">
        <f>IF(VLOOKUP(AD$2,'TIS Site Config'!$A$4:$AQ$51,3,FALSE)&lt;&gt;"Soft",
   IF(VLOOKUP(AD$2,'TIS Site Config'!$A$3:$AQ$51,6,FALSE)="Extreme Heated",
   IF(OR(VLOOKUP(AD$2,'TIS Site Config'!$A$3:$AQ$51,23,FALSE)="AB",
                VLOOKUP(AD$2,'TIS Site Config'!$A$3:$AQ$51,23,FALSE)="BC",
                VLOOKUP(AD$2,'TIS Site Config'!$A$3:$AQ$51,23,FALSE)="CD",
                VLOOKUP(AD$2,'TIS Site Config'!$A$3:$AQ$51,23,FALSE)="DA"),
                         1,0),
0),0)</f>
        <v>0</v>
      </c>
      <c r="AE49" s="223">
        <f>IF(VLOOKUP(AE$2,'TIS Site Config'!$A$4:$AQ$51,3,FALSE)&lt;&gt;"Soft",
   IF(VLOOKUP(AE$2,'TIS Site Config'!$A$3:$AQ$51,6,FALSE)="Extreme Heated",
   IF(OR(VLOOKUP(AE$2,'TIS Site Config'!$A$3:$AQ$51,23,FALSE)="AB",
                VLOOKUP(AE$2,'TIS Site Config'!$A$3:$AQ$51,23,FALSE)="BC",
                VLOOKUP(AE$2,'TIS Site Config'!$A$3:$AQ$51,23,FALSE)="CD",
                VLOOKUP(AE$2,'TIS Site Config'!$A$3:$AQ$51,23,FALSE)="DA"),
                         1,0),
0),0)</f>
        <v>0</v>
      </c>
      <c r="AF49" s="16">
        <f>IF(VLOOKUP(AF$2,'TIS Site Config'!$A$4:$AQ$51,3,FALSE)&lt;&gt;"Soft",
   IF(VLOOKUP(AF$2,'TIS Site Config'!$A$3:$AQ$51,6,FALSE)="Extreme Heated",
   IF(OR(VLOOKUP(AF$2,'TIS Site Config'!$A$3:$AQ$51,23,FALSE)="AB",
                VLOOKUP(AF$2,'TIS Site Config'!$A$3:$AQ$51,23,FALSE)="BC",
                VLOOKUP(AF$2,'TIS Site Config'!$A$3:$AQ$51,23,FALSE)="CD",
                VLOOKUP(AF$2,'TIS Site Config'!$A$3:$AQ$51,23,FALSE)="DA"),
                         1,0),
0),0)</f>
        <v>0</v>
      </c>
      <c r="AG49" s="21">
        <f>IF(VLOOKUP(AG$2,'TIS Site Config'!$A$4:$AQ$51,3,FALSE)&lt;&gt;"Soft",
   IF(VLOOKUP(AG$2,'TIS Site Config'!$A$3:$AQ$51,6,FALSE)="Extreme Heated",
   IF(OR(VLOOKUP(AG$2,'TIS Site Config'!$A$3:$AQ$51,23,FALSE)="AB",
                VLOOKUP(AG$2,'TIS Site Config'!$A$3:$AQ$51,23,FALSE)="BC",
                VLOOKUP(AG$2,'TIS Site Config'!$A$3:$AQ$51,23,FALSE)="CD",
                VLOOKUP(AG$2,'TIS Site Config'!$A$3:$AQ$51,23,FALSE)="DA"),
                         1,0),
0),0)</f>
        <v>0</v>
      </c>
      <c r="AH49" s="222">
        <f>IF(VLOOKUP(AH$2,'TIS Site Config'!$A$4:$AQ$51,3,FALSE)&lt;&gt;"Soft",
   IF(VLOOKUP(AH$2,'TIS Site Config'!$A$3:$AQ$51,6,FALSE)="Extreme Heated",
   IF(OR(VLOOKUP(AH$2,'TIS Site Config'!$A$3:$AQ$51,23,FALSE)="AB",
                VLOOKUP(AH$2,'TIS Site Config'!$A$3:$AQ$51,23,FALSE)="BC",
                VLOOKUP(AH$2,'TIS Site Config'!$A$3:$AQ$51,23,FALSE)="CD",
                VLOOKUP(AH$2,'TIS Site Config'!$A$3:$AQ$51,23,FALSE)="DA"),
                         1,0),
0),0)</f>
        <v>0</v>
      </c>
      <c r="AI49" s="136">
        <f>IF(VLOOKUP(AI$2,'TIS Site Config'!$A$4:$AQ$51,3,FALSE)&lt;&gt;"Soft",
   IF(VLOOKUP(AI$2,'TIS Site Config'!$A$3:$AQ$51,6,FALSE)="Extreme Heated",
   IF(OR(VLOOKUP(AI$2,'TIS Site Config'!$A$3:$AQ$51,23,FALSE)="AB",
                VLOOKUP(AI$2,'TIS Site Config'!$A$3:$AQ$51,23,FALSE)="BC",
                VLOOKUP(AI$2,'TIS Site Config'!$A$3:$AQ$51,23,FALSE)="CD",
                VLOOKUP(AI$2,'TIS Site Config'!$A$3:$AQ$51,23,FALSE)="DA"),
                         1,0),
0),0)</f>
        <v>0</v>
      </c>
      <c r="AJ49" s="21">
        <f>IF(VLOOKUP(AJ$2,'TIS Site Config'!$A$4:$AQ$51,3,FALSE)&lt;&gt;"Soft",
   IF(VLOOKUP(AJ$2,'TIS Site Config'!$A$3:$AQ$51,6,FALSE)="Extreme Heated",
   IF(OR(VLOOKUP(AJ$2,'TIS Site Config'!$A$3:$AQ$51,23,FALSE)="AB",
                VLOOKUP(AJ$2,'TIS Site Config'!$A$3:$AQ$51,23,FALSE)="BC",
                VLOOKUP(AJ$2,'TIS Site Config'!$A$3:$AQ$51,23,FALSE)="CD",
                VLOOKUP(AJ$2,'TIS Site Config'!$A$3:$AQ$51,23,FALSE)="DA"),
                         1,0),
0),0)</f>
        <v>0</v>
      </c>
      <c r="AK49" s="222">
        <f>IF(VLOOKUP(AK$2,'TIS Site Config'!$A$4:$AQ$51,3,FALSE)&lt;&gt;"Soft",
   IF(VLOOKUP(AK$2,'TIS Site Config'!$A$3:$AQ$51,6,FALSE)="Extreme Heated",
   IF(OR(VLOOKUP(AK$2,'TIS Site Config'!$A$3:$AQ$51,23,FALSE)="AB",
                VLOOKUP(AK$2,'TIS Site Config'!$A$3:$AQ$51,23,FALSE)="BC",
                VLOOKUP(AK$2,'TIS Site Config'!$A$3:$AQ$51,23,FALSE)="CD",
                VLOOKUP(AK$2,'TIS Site Config'!$A$3:$AQ$51,23,FALSE)="DA"),
                         1,0),
0),0)</f>
        <v>0</v>
      </c>
      <c r="AL49" s="136">
        <f>IF(VLOOKUP(AL$2,'TIS Site Config'!$A$4:$AQ$51,3,FALSE)&lt;&gt;"Soft",
   IF(VLOOKUP(AL$2,'TIS Site Config'!$A$3:$AQ$51,6,FALSE)="Extreme Heated",
   IF(OR(VLOOKUP(AL$2,'TIS Site Config'!$A$3:$AQ$51,23,FALSE)="AB",
                VLOOKUP(AL$2,'TIS Site Config'!$A$3:$AQ$51,23,FALSE)="BC",
                VLOOKUP(AL$2,'TIS Site Config'!$A$3:$AQ$51,23,FALSE)="CD",
                VLOOKUP(AL$2,'TIS Site Config'!$A$3:$AQ$51,23,FALSE)="DA"),
                         1,0),
0),0)</f>
        <v>0</v>
      </c>
      <c r="AM49" s="21">
        <f>IF(VLOOKUP(AM$2,'TIS Site Config'!$A$4:$AQ$51,3,FALSE)&lt;&gt;"Soft",
   IF(VLOOKUP(AM$2,'TIS Site Config'!$A$3:$AQ$51,6,FALSE)="Extreme Heated",
   IF(OR(VLOOKUP(AM$2,'TIS Site Config'!$A$3:$AQ$51,23,FALSE)="AB",
                VLOOKUP(AM$2,'TIS Site Config'!$A$3:$AQ$51,23,FALSE)="BC",
                VLOOKUP(AM$2,'TIS Site Config'!$A$3:$AQ$51,23,FALSE)="CD",
                VLOOKUP(AM$2,'TIS Site Config'!$A$3:$AQ$51,23,FALSE)="DA"),
                         1,0),
0),0)</f>
        <v>0</v>
      </c>
      <c r="AN49" s="222">
        <f>IF(VLOOKUP(AN$2,'TIS Site Config'!$A$4:$AQ$51,3,FALSE)&lt;&gt;"Soft",
   IF(VLOOKUP(AN$2,'TIS Site Config'!$A$3:$AQ$51,6,FALSE)="Extreme Heated",
   IF(OR(VLOOKUP(AN$2,'TIS Site Config'!$A$3:$AQ$51,23,FALSE)="AB",
                VLOOKUP(AN$2,'TIS Site Config'!$A$3:$AQ$51,23,FALSE)="BC",
                VLOOKUP(AN$2,'TIS Site Config'!$A$3:$AQ$51,23,FALSE)="CD",
                VLOOKUP(AN$2,'TIS Site Config'!$A$3:$AQ$51,23,FALSE)="DA"),
                         1,0),
0),0)</f>
        <v>0</v>
      </c>
      <c r="AO49" s="136">
        <f>IF(VLOOKUP(AO$2,'TIS Site Config'!$A$4:$AQ$51,3,FALSE)&lt;&gt;"Soft",
   IF(VLOOKUP(AO$2,'TIS Site Config'!$A$3:$AQ$51,6,FALSE)="Extreme Heated",
   IF(OR(VLOOKUP(AO$2,'TIS Site Config'!$A$3:$AQ$51,23,FALSE)="AB",
                VLOOKUP(AO$2,'TIS Site Config'!$A$3:$AQ$51,23,FALSE)="BC",
                VLOOKUP(AO$2,'TIS Site Config'!$A$3:$AQ$51,23,FALSE)="CD",
                VLOOKUP(AO$2,'TIS Site Config'!$A$3:$AQ$51,23,FALSE)="DA"),
                         1,0),
0),0)</f>
        <v>0</v>
      </c>
      <c r="AP49" s="21">
        <f>IF(VLOOKUP(AP$2,'TIS Site Config'!$A$4:$AQ$51,3,FALSE)&lt;&gt;"Soft",
   IF(VLOOKUP(AP$2,'TIS Site Config'!$A$3:$AQ$51,6,FALSE)="Extreme Heated",
   IF(OR(VLOOKUP(AP$2,'TIS Site Config'!$A$3:$AQ$51,23,FALSE)="AB",
                VLOOKUP(AP$2,'TIS Site Config'!$A$3:$AQ$51,23,FALSE)="BC",
                VLOOKUP(AP$2,'TIS Site Config'!$A$3:$AQ$51,23,FALSE)="CD",
                VLOOKUP(AP$2,'TIS Site Config'!$A$3:$AQ$51,23,FALSE)="DA"),
                         1,0),
0),0)</f>
        <v>0</v>
      </c>
      <c r="AQ49" s="136">
        <f>IF(VLOOKUP(AQ$2,'TIS Site Config'!$A$4:$AQ$51,3,FALSE)&lt;&gt;"Soft",
   IF(VLOOKUP(AQ$2,'TIS Site Config'!$A$3:$AQ$51,6,FALSE)="Extreme Heated",
   IF(OR(VLOOKUP(AQ$2,'TIS Site Config'!$A$3:$AQ$51,23,FALSE)="AB",
                VLOOKUP(AQ$2,'TIS Site Config'!$A$3:$AQ$51,23,FALSE)="BC",
                VLOOKUP(AQ$2,'TIS Site Config'!$A$3:$AQ$51,23,FALSE)="CD",
                VLOOKUP(AQ$2,'TIS Site Config'!$A$3:$AQ$51,23,FALSE)="DA"),
                         1,0),
0),0)</f>
        <v>0</v>
      </c>
      <c r="AR49" s="136">
        <f>IF(VLOOKUP(AR$2,'TIS Site Config'!$A$4:$AQ$51,3,FALSE)&lt;&gt;"Soft",
   IF(VLOOKUP(AR$2,'TIS Site Config'!$A$3:$AQ$51,6,FALSE)="Extreme Heated",
   IF(OR(VLOOKUP(AR$2,'TIS Site Config'!$A$3:$AQ$51,23,FALSE)="AB",
                VLOOKUP(AR$2,'TIS Site Config'!$A$3:$AQ$51,23,FALSE)="BC",
                VLOOKUP(AR$2,'TIS Site Config'!$A$3:$AQ$51,23,FALSE)="CD",
                VLOOKUP(AR$2,'TIS Site Config'!$A$3:$AQ$51,23,FALSE)="DA"),
                         1,0),
0),0)</f>
        <v>0</v>
      </c>
      <c r="AS49" s="21">
        <f>IF(VLOOKUP(AS$2,'TIS Site Config'!$A$4:$AQ$51,3,FALSE)&lt;&gt;"Soft",
   IF(VLOOKUP(AS$2,'TIS Site Config'!$A$3:$AQ$51,6,FALSE)="Extreme Heated",
   IF(OR(VLOOKUP(AS$2,'TIS Site Config'!$A$3:$AQ$51,23,FALSE)="AB",
                VLOOKUP(AS$2,'TIS Site Config'!$A$3:$AQ$51,23,FALSE)="BC",
                VLOOKUP(AS$2,'TIS Site Config'!$A$3:$AQ$51,23,FALSE)="CD",
                VLOOKUP(AS$2,'TIS Site Config'!$A$3:$AQ$51,23,FALSE)="DA"),
                         1,0),
0),0)</f>
        <v>0</v>
      </c>
      <c r="AT49" s="136">
        <f>IF(VLOOKUP(AT$2,'TIS Site Config'!$A$4:$AQ$51,3,FALSE)&lt;&gt;"Soft",
   IF(VLOOKUP(AT$2,'TIS Site Config'!$A$3:$AQ$51,6,FALSE)="Extreme Heated",
   IF(OR(VLOOKUP(AT$2,'TIS Site Config'!$A$3:$AQ$51,23,FALSE)="AB",
                VLOOKUP(AT$2,'TIS Site Config'!$A$3:$AQ$51,23,FALSE)="BC",
                VLOOKUP(AT$2,'TIS Site Config'!$A$3:$AQ$51,23,FALSE)="CD",
                VLOOKUP(AT$2,'TIS Site Config'!$A$3:$AQ$51,23,FALSE)="DA"),
                         1,0),
0),0)</f>
        <v>0</v>
      </c>
      <c r="AU49" s="21">
        <f>IF(VLOOKUP(AU$2,'TIS Site Config'!$A$4:$AQ$51,3,FALSE)&lt;&gt;"Soft",
   IF(VLOOKUP(AU$2,'TIS Site Config'!$A$3:$AQ$51,6,FALSE)="Extreme Heated",
   IF(OR(VLOOKUP(AU$2,'TIS Site Config'!$A$3:$AQ$51,23,FALSE)="AB",
                VLOOKUP(AU$2,'TIS Site Config'!$A$3:$AQ$51,23,FALSE)="BC",
                VLOOKUP(AU$2,'TIS Site Config'!$A$3:$AQ$51,23,FALSE)="CD",
                VLOOKUP(AU$2,'TIS Site Config'!$A$3:$AQ$51,23,FALSE)="DA"),
                         1,0),
0),0)</f>
        <v>0</v>
      </c>
      <c r="AV49" s="136">
        <f>IF(VLOOKUP(AV$2,'TIS Site Config'!$A$4:$AQ$51,3,FALSE)&lt;&gt;"Soft",
   IF(VLOOKUP(AV$2,'TIS Site Config'!$A$3:$AQ$51,6,FALSE)="Extreme Heated",
   IF(OR(VLOOKUP(AV$2,'TIS Site Config'!$A$3:$AQ$51,23,FALSE)="AB",
                VLOOKUP(AV$2,'TIS Site Config'!$A$3:$AQ$51,23,FALSE)="BC",
                VLOOKUP(AV$2,'TIS Site Config'!$A$3:$AQ$51,23,FALSE)="CD",
                VLOOKUP(AV$2,'TIS Site Config'!$A$3:$AQ$51,23,FALSE)="DA"),
                         1,0),
0),0)</f>
        <v>0</v>
      </c>
      <c r="AW49" s="136">
        <f>IF(VLOOKUP(AW$2,'TIS Site Config'!$A$4:$AQ$51,3,FALSE)&lt;&gt;"Soft",
   IF(VLOOKUP(AW$2,'TIS Site Config'!$A$3:$AQ$51,6,FALSE)="Extreme Heated",
   IF(OR(VLOOKUP(AW$2,'TIS Site Config'!$A$3:$AQ$51,23,FALSE)="AB",
                VLOOKUP(AW$2,'TIS Site Config'!$A$3:$AQ$51,23,FALSE)="BC",
                VLOOKUP(AW$2,'TIS Site Config'!$A$3:$AQ$51,23,FALSE)="CD",
                VLOOKUP(AW$2,'TIS Site Config'!$A$3:$AQ$51,23,FALSE)="DA"),
                         1,0),
0),0)</f>
        <v>0</v>
      </c>
      <c r="AX49" s="222">
        <f>IF(VLOOKUP(AX$2,'TIS Site Config'!$A$4:$AQ$51,3,FALSE)&lt;&gt;"Soft",
   IF(VLOOKUP(AX$2,'TIS Site Config'!$A$3:$AQ$51,6,FALSE)="Extreme Heated",
   IF(OR(VLOOKUP(AX$2,'TIS Site Config'!$A$3:$AQ$51,23,FALSE)="AB",
                VLOOKUP(AX$2,'TIS Site Config'!$A$3:$AQ$51,23,FALSE)="BC",
                VLOOKUP(AX$2,'TIS Site Config'!$A$3:$AQ$51,23,FALSE)="CD",
                VLOOKUP(AX$2,'TIS Site Config'!$A$3:$AQ$51,23,FALSE)="DA"),
                         1,0),
0),0)</f>
        <v>0</v>
      </c>
      <c r="AY49" s="136">
        <f>IF(VLOOKUP(AY$2,'TIS Site Config'!$A$4:$AQ$51,3,FALSE)&lt;&gt;"Soft",
   IF(VLOOKUP(AY$2,'TIS Site Config'!$A$3:$AQ$51,6,FALSE)="Extreme Heated",
   IF(OR(VLOOKUP(AY$2,'TIS Site Config'!$A$3:$AQ$51,23,FALSE)="AB",
                VLOOKUP(AY$2,'TIS Site Config'!$A$3:$AQ$51,23,FALSE)="BC",
                VLOOKUP(AY$2,'TIS Site Config'!$A$3:$AQ$51,23,FALSE)="CD",
                VLOOKUP(AY$2,'TIS Site Config'!$A$3:$AQ$51,23,FALSE)="DA"),
                         1,0),
0),0)</f>
        <v>0</v>
      </c>
      <c r="AZ49" s="21">
        <f>IF(VLOOKUP(AZ$2,'TIS Site Config'!$A$4:$AQ$51,3,FALSE)&lt;&gt;"Soft",
   IF(VLOOKUP(AZ$2,'TIS Site Config'!$A$3:$AQ$51,6,FALSE)="Extreme Heated",
   IF(OR(VLOOKUP(AZ$2,'TIS Site Config'!$A$3:$AQ$51,23,FALSE)="AB",
                VLOOKUP(AZ$2,'TIS Site Config'!$A$3:$AQ$51,23,FALSE)="BC",
                VLOOKUP(AZ$2,'TIS Site Config'!$A$3:$AQ$51,23,FALSE)="CD",
                VLOOKUP(AZ$2,'TIS Site Config'!$A$3:$AQ$51,23,FALSE)="DA"),
                         1,0),
0),0)</f>
        <v>0</v>
      </c>
      <c r="BA49" s="223">
        <f>IF(VLOOKUP(BA$2,'TIS Site Config'!$A$4:$AQ$51,3,FALSE)&lt;&gt;"Soft",
   IF(VLOOKUP(BA$2,'TIS Site Config'!$A$3:$AQ$51,6,FALSE)="Extreme Heated",
   IF(OR(VLOOKUP(BA$2,'TIS Site Config'!$A$3:$AQ$51,23,FALSE)="AB",
                VLOOKUP(BA$2,'TIS Site Config'!$A$3:$AQ$51,23,FALSE)="BC",
                VLOOKUP(BA$2,'TIS Site Config'!$A$3:$AQ$51,23,FALSE)="CD",
                VLOOKUP(BA$2,'TIS Site Config'!$A$3:$AQ$51,23,FALSE)="DA"),
                         1,0),
0),0)</f>
        <v>0</v>
      </c>
      <c r="BB49" s="136">
        <f>IF(VLOOKUP(BB$2,'TIS Site Config'!$A$4:$AQ$51,3,FALSE)&lt;&gt;"Soft",
   IF(VLOOKUP(BB$2,'TIS Site Config'!$A$3:$AQ$51,6,FALSE)="Extreme Heated",
   IF(OR(VLOOKUP(BB$2,'TIS Site Config'!$A$3:$AQ$51,23,FALSE)="AB",
                VLOOKUP(BB$2,'TIS Site Config'!$A$3:$AQ$51,23,FALSE)="BC",
                VLOOKUP(BB$2,'TIS Site Config'!$A$3:$AQ$51,23,FALSE)="CD",
                VLOOKUP(BB$2,'TIS Site Config'!$A$3:$AQ$51,23,FALSE)="DA"),
                         1,0),
0),0)</f>
        <v>0</v>
      </c>
      <c r="BC49" s="222">
        <f>IF(VLOOKUP(BC$2,'TIS Site Config'!$A$4:$AQ$51,3,FALSE)&lt;&gt;"Soft",
   IF(VLOOKUP(BC$2,'TIS Site Config'!$A$3:$AQ$51,6,FALSE)="Extreme Heated",
   IF(OR(VLOOKUP(BC$2,'TIS Site Config'!$A$3:$AQ$51,23,FALSE)="AB",
                VLOOKUP(BC$2,'TIS Site Config'!$A$3:$AQ$51,23,FALSE)="BC",
                VLOOKUP(BC$2,'TIS Site Config'!$A$3:$AQ$51,23,FALSE)="CD",
                VLOOKUP(BC$2,'TIS Site Config'!$A$3:$AQ$51,23,FALSE)="DA"),
                         1,0),
0),0)</f>
        <v>1</v>
      </c>
      <c r="BD49" s="136">
        <f>IF(VLOOKUP(BD$2,'TIS Site Config'!$A$4:$AQ$51,3,FALSE)&lt;&gt;"Soft",
   IF(VLOOKUP(BD$2,'TIS Site Config'!$A$3:$AQ$51,6,FALSE)="Extreme Heated",
   IF(OR(VLOOKUP(BD$2,'TIS Site Config'!$A$3:$AQ$51,23,FALSE)="AB",
                VLOOKUP(BD$2,'TIS Site Config'!$A$3:$AQ$51,23,FALSE)="BC",
                VLOOKUP(BD$2,'TIS Site Config'!$A$3:$AQ$51,23,FALSE)="CD",
                VLOOKUP(BD$2,'TIS Site Config'!$A$3:$AQ$51,23,FALSE)="DA"),
                         1,0),
0),0)</f>
        <v>1</v>
      </c>
      <c r="BE49" s="21">
        <f>IF(VLOOKUP(BE$2,'TIS Site Config'!$A$4:$AQ$51,3,FALSE)&lt;&gt;"Soft",
   IF(VLOOKUP(BE$2,'TIS Site Config'!$A$3:$AQ$51,6,FALSE)="Extreme Heated",
   IF(OR(VLOOKUP(BE$2,'TIS Site Config'!$A$3:$AQ$51,23,FALSE)="AB",
                VLOOKUP(BE$2,'TIS Site Config'!$A$3:$AQ$51,23,FALSE)="BC",
                VLOOKUP(BE$2,'TIS Site Config'!$A$3:$AQ$51,23,FALSE)="CD",
                VLOOKUP(BE$2,'TIS Site Config'!$A$3:$AQ$51,23,FALSE)="DA"),
                         1,0),
0),0)</f>
        <v>1</v>
      </c>
      <c r="BF49" s="222">
        <f>IF(VLOOKUP(BF$2,'TIS Site Config'!$A$4:$AQ$51,3,FALSE)&lt;&gt;"Soft",
   IF(VLOOKUP(BF$2,'TIS Site Config'!$A$3:$AQ$51,6,FALSE)="Extreme Heated",
   IF(OR(VLOOKUP(BF$2,'TIS Site Config'!$A$3:$AQ$51,23,FALSE)="AB",
                VLOOKUP(BF$2,'TIS Site Config'!$A$3:$AQ$51,23,FALSE)="BC",
                VLOOKUP(BF$2,'TIS Site Config'!$A$3:$AQ$51,23,FALSE)="CD",
                VLOOKUP(BF$2,'TIS Site Config'!$A$3:$AQ$51,23,FALSE)="DA"),
                         1,0),
0),0)</f>
        <v>1</v>
      </c>
      <c r="BG49" s="62">
        <f>IF(VLOOKUP(BG$2,'TIS Site Config'!$A$4:$AQ$51,3,FALSE)&lt;&gt;"Soft",
   IF(VLOOKUP(BG$2,'TIS Site Config'!$A$3:$AQ$51,6,FALSE)="Extreme Heated",
   IF(OR(VLOOKUP(BG$2,'TIS Site Config'!$A$3:$AQ$51,23,FALSE)="AB",
                VLOOKUP(BG$2,'TIS Site Config'!$A$3:$AQ$51,23,FALSE)="BC",
                VLOOKUP(BG$2,'TIS Site Config'!$A$3:$AQ$51,23,FALSE)="CD",
                VLOOKUP(BG$2,'TIS Site Config'!$A$3:$AQ$51,23,FALSE)="DA"),
                         1,0),
0),0)</f>
        <v>0</v>
      </c>
      <c r="BH49" s="62">
        <f>IF(VLOOKUP(BH$2,'TIS Site Config'!$A$4:$AQ$51,3,FALSE)&lt;&gt;"Soft",
   IF(VLOOKUP(BH$2,'TIS Site Config'!$A$3:$AQ$51,6,FALSE)="Extreme Heated",
   IF(OR(VLOOKUP(BH$2,'TIS Site Config'!$A$3:$AQ$51,23,FALSE)="AB",
                VLOOKUP(BH$2,'TIS Site Config'!$A$3:$AQ$51,23,FALSE)="BC",
                VLOOKUP(BH$2,'TIS Site Config'!$A$3:$AQ$51,23,FALSE)="CD",
                VLOOKUP(BH$2,'TIS Site Config'!$A$3:$AQ$51,23,FALSE)="DA"),
                         1,0),
0),0)</f>
        <v>0</v>
      </c>
      <c r="BK49" s="44">
        <v>5</v>
      </c>
      <c r="BL49" s="950" t="b">
        <f t="shared" si="4"/>
        <v>0</v>
      </c>
      <c r="BO49" s="950"/>
    </row>
    <row r="50" spans="1:67" ht="16.5" thickTop="1" thickBot="1" x14ac:dyDescent="0.3">
      <c r="A50" s="1378"/>
      <c r="B50" s="342" t="s">
        <v>68</v>
      </c>
      <c r="C50" s="72" t="s">
        <v>175</v>
      </c>
      <c r="D50" s="95">
        <v>2</v>
      </c>
      <c r="E50" s="111" t="s">
        <v>7</v>
      </c>
      <c r="F50" s="65">
        <f t="shared" si="1"/>
        <v>94</v>
      </c>
      <c r="G50" s="447"/>
      <c r="H50" s="448"/>
      <c r="I50" s="448">
        <v>0</v>
      </c>
      <c r="J50" s="448"/>
      <c r="K50" s="449"/>
      <c r="L50" s="490"/>
      <c r="M50" s="139">
        <f>2</f>
        <v>2</v>
      </c>
      <c r="N50" s="240">
        <f>2</f>
        <v>2</v>
      </c>
      <c r="O50" s="244">
        <f>2</f>
        <v>2</v>
      </c>
      <c r="P50" s="239">
        <f>2</f>
        <v>2</v>
      </c>
      <c r="Q50" s="240">
        <f>2</f>
        <v>2</v>
      </c>
      <c r="R50" s="139">
        <f>2</f>
        <v>2</v>
      </c>
      <c r="S50" s="239">
        <f>2</f>
        <v>2</v>
      </c>
      <c r="T50" s="240">
        <f>2</f>
        <v>2</v>
      </c>
      <c r="U50" s="139">
        <f>2</f>
        <v>2</v>
      </c>
      <c r="V50" s="240">
        <f>2</f>
        <v>2</v>
      </c>
      <c r="W50" s="243">
        <f>2</f>
        <v>2</v>
      </c>
      <c r="X50" s="239">
        <f>2</f>
        <v>2</v>
      </c>
      <c r="Y50" s="240">
        <f>2</f>
        <v>2</v>
      </c>
      <c r="Z50" s="139">
        <f>2</f>
        <v>2</v>
      </c>
      <c r="AA50" s="239">
        <f>2</f>
        <v>2</v>
      </c>
      <c r="AB50" s="240">
        <f>2</f>
        <v>2</v>
      </c>
      <c r="AC50" s="239">
        <f>2</f>
        <v>2</v>
      </c>
      <c r="AD50" s="241">
        <f>2</f>
        <v>2</v>
      </c>
      <c r="AE50" s="241">
        <f>2</f>
        <v>2</v>
      </c>
      <c r="AF50" s="242">
        <f>2</f>
        <v>2</v>
      </c>
      <c r="AG50" s="239">
        <f>2</f>
        <v>2</v>
      </c>
      <c r="AH50" s="240">
        <f>2</f>
        <v>2</v>
      </c>
      <c r="AI50" s="139">
        <f>2</f>
        <v>2</v>
      </c>
      <c r="AJ50" s="239">
        <f>2</f>
        <v>2</v>
      </c>
      <c r="AK50" s="240">
        <f>2</f>
        <v>2</v>
      </c>
      <c r="AL50" s="139">
        <f>2</f>
        <v>2</v>
      </c>
      <c r="AM50" s="239">
        <f>2</f>
        <v>2</v>
      </c>
      <c r="AN50" s="240">
        <f>2</f>
        <v>2</v>
      </c>
      <c r="AO50" s="139">
        <f>2</f>
        <v>2</v>
      </c>
      <c r="AP50" s="239">
        <f>2</f>
        <v>2</v>
      </c>
      <c r="AQ50" s="139">
        <f>2</f>
        <v>2</v>
      </c>
      <c r="AR50" s="139">
        <f>2</f>
        <v>2</v>
      </c>
      <c r="AS50" s="239">
        <f>2</f>
        <v>2</v>
      </c>
      <c r="AT50" s="139">
        <f>2</f>
        <v>2</v>
      </c>
      <c r="AU50" s="239">
        <f>2</f>
        <v>2</v>
      </c>
      <c r="AV50" s="139">
        <f>2</f>
        <v>2</v>
      </c>
      <c r="AW50" s="139">
        <f>2</f>
        <v>2</v>
      </c>
      <c r="AX50" s="240">
        <f>2</f>
        <v>2</v>
      </c>
      <c r="AY50" s="139">
        <f>2</f>
        <v>2</v>
      </c>
      <c r="AZ50" s="239">
        <f>2</f>
        <v>2</v>
      </c>
      <c r="BA50" s="241">
        <f>2</f>
        <v>2</v>
      </c>
      <c r="BB50" s="139">
        <f>2</f>
        <v>2</v>
      </c>
      <c r="BC50" s="240">
        <f>2</f>
        <v>2</v>
      </c>
      <c r="BD50" s="139">
        <f>2</f>
        <v>2</v>
      </c>
      <c r="BE50" s="239">
        <f>2</f>
        <v>2</v>
      </c>
      <c r="BF50" s="240">
        <f>2</f>
        <v>2</v>
      </c>
      <c r="BG50" s="65">
        <f>2</f>
        <v>2</v>
      </c>
      <c r="BH50" s="65">
        <f>2</f>
        <v>2</v>
      </c>
      <c r="BK50" s="3">
        <v>120</v>
      </c>
      <c r="BL50" s="950" t="b">
        <f t="shared" si="4"/>
        <v>0</v>
      </c>
      <c r="BO50" s="950"/>
    </row>
    <row r="51" spans="1:67" s="44" customFormat="1" ht="15.75" thickTop="1" x14ac:dyDescent="0.25">
      <c r="A51" s="1378"/>
      <c r="B51" s="1341" t="s">
        <v>389</v>
      </c>
      <c r="C51" s="72" t="s">
        <v>513</v>
      </c>
      <c r="D51" s="95">
        <v>3</v>
      </c>
      <c r="E51" s="111" t="s">
        <v>549</v>
      </c>
      <c r="F51" s="65">
        <f t="shared" si="1"/>
        <v>41</v>
      </c>
      <c r="G51" s="473"/>
      <c r="H51" s="474"/>
      <c r="I51" s="474"/>
      <c r="J51" s="474"/>
      <c r="K51" s="475"/>
      <c r="L51" s="499"/>
      <c r="M51" s="139">
        <f>IF(
        AND(VLOOKUP(M$2,'TIS Site Config'!$A$3:$AQ$51,32,FALSE)="No",
                   VLOOKUP(M$2,'TIS Site Config'!$A$3:$AQ$51,34,FALSE)="No"),
             1,0)</f>
        <v>1</v>
      </c>
      <c r="N51" s="240">
        <f>IF(
        AND(VLOOKUP(N$2,'TIS Site Config'!$A$3:$AQ$51,32,FALSE)="No",
                   VLOOKUP(N$2,'TIS Site Config'!$A$3:$AQ$51,34,FALSE)="No"),
             1,0)</f>
        <v>1</v>
      </c>
      <c r="O51" s="244">
        <f>IF(
        AND(VLOOKUP(O$2,'TIS Site Config'!$A$3:$AQ$51,32,FALSE)="No",
                   VLOOKUP(O$2,'TIS Site Config'!$A$3:$AQ$51,34,FALSE)="No"),
             1,0)</f>
        <v>1</v>
      </c>
      <c r="P51" s="239">
        <f>IF(
        AND(VLOOKUP(P$2,'TIS Site Config'!$A$3:$AQ$51,32,FALSE)="No",
                   VLOOKUP(P$2,'TIS Site Config'!$A$3:$AQ$51,34,FALSE)="No"),
             1,0)</f>
        <v>1</v>
      </c>
      <c r="Q51" s="240">
        <f>IF(
        AND(VLOOKUP(Q$2,'TIS Site Config'!$A$3:$AQ$51,32,FALSE)="No",
                   VLOOKUP(Q$2,'TIS Site Config'!$A$3:$AQ$51,34,FALSE)="No"),
             1,0)</f>
        <v>1</v>
      </c>
      <c r="R51" s="139">
        <f>IF(
        AND(VLOOKUP(R$2,'TIS Site Config'!$A$3:$AQ$51,32,FALSE)="No",
                   VLOOKUP(R$2,'TIS Site Config'!$A$3:$AQ$51,34,FALSE)="No"),
             1,0)</f>
        <v>1</v>
      </c>
      <c r="S51" s="239">
        <f>IF(
        AND(VLOOKUP(S$2,'TIS Site Config'!$A$3:$AQ$51,32,FALSE)="No",
                   VLOOKUP(S$2,'TIS Site Config'!$A$3:$AQ$51,34,FALSE)="No"),
             1,0)</f>
        <v>1</v>
      </c>
      <c r="T51" s="240">
        <f>IF(
        AND(VLOOKUP(T$2,'TIS Site Config'!$A$3:$AQ$51,32,FALSE)="No",
                   VLOOKUP(T$2,'TIS Site Config'!$A$3:$AQ$51,34,FALSE)="No"),
             1,0)</f>
        <v>1</v>
      </c>
      <c r="U51" s="139">
        <f>IF(
        AND(VLOOKUP(U$2,'TIS Site Config'!$A$3:$AQ$51,32,FALSE)="No",
                   VLOOKUP(U$2,'TIS Site Config'!$A$3:$AQ$51,34,FALSE)="No"),
             1,0)</f>
        <v>1</v>
      </c>
      <c r="V51" s="240">
        <f>IF(
        AND(VLOOKUP(V$2,'TIS Site Config'!$A$3:$AQ$51,32,FALSE)="No",
                   VLOOKUP(V$2,'TIS Site Config'!$A$3:$AQ$51,34,FALSE)="No"),
             1,0)</f>
        <v>1</v>
      </c>
      <c r="W51" s="243">
        <f>IF(
        AND(VLOOKUP(W$2,'TIS Site Config'!$A$3:$AQ$51,32,FALSE)="No",
                   VLOOKUP(W$2,'TIS Site Config'!$A$3:$AQ$51,34,FALSE)="No"),
             1,0)</f>
        <v>1</v>
      </c>
      <c r="X51" s="239">
        <f>IF(
        AND(VLOOKUP(X$2,'TIS Site Config'!$A$3:$AQ$51,32,FALSE)="No",
                   VLOOKUP(X$2,'TIS Site Config'!$A$3:$AQ$51,34,FALSE)="No"),
             1,0)</f>
        <v>1</v>
      </c>
      <c r="Y51" s="240">
        <f>IF(
        AND(VLOOKUP(Y$2,'TIS Site Config'!$A$3:$AQ$51,32,FALSE)="No",
                   VLOOKUP(Y$2,'TIS Site Config'!$A$3:$AQ$51,34,FALSE)="No"),
             1,0)</f>
        <v>1</v>
      </c>
      <c r="Z51" s="139">
        <f>IF(
        AND(VLOOKUP(Z$2,'TIS Site Config'!$A$3:$AQ$51,32,FALSE)="No",
                   VLOOKUP(Z$2,'TIS Site Config'!$A$3:$AQ$51,34,FALSE)="No"),
             1,0)</f>
        <v>1</v>
      </c>
      <c r="AA51" s="239">
        <f>IF(
        AND(VLOOKUP(AA$2,'TIS Site Config'!$A$3:$AQ$51,32,FALSE)="No",
                   VLOOKUP(AA$2,'TIS Site Config'!$A$3:$AQ$51,34,FALSE)="No"),
             1,0)</f>
        <v>1</v>
      </c>
      <c r="AB51" s="240">
        <f>IF(
        AND(VLOOKUP(AB$2,'TIS Site Config'!$A$3:$AQ$51,32,FALSE)="No",
                   VLOOKUP(AB$2,'TIS Site Config'!$A$3:$AQ$51,34,FALSE)="No"),
             1,0)</f>
        <v>1</v>
      </c>
      <c r="AC51" s="239">
        <f>IF(
        AND(VLOOKUP(AC$2,'TIS Site Config'!$A$3:$AQ$51,32,FALSE)="No",
                   VLOOKUP(AC$2,'TIS Site Config'!$A$3:$AQ$51,34,FALSE)="No"),
             1,0)</f>
        <v>1</v>
      </c>
      <c r="AD51" s="241">
        <f>IF(
        AND(VLOOKUP(AD$2,'TIS Site Config'!$A$3:$AQ$51,32,FALSE)="No",
                   VLOOKUP(AD$2,'TIS Site Config'!$A$3:$AQ$51,34,FALSE)="No"),
             1,0)</f>
        <v>1</v>
      </c>
      <c r="AE51" s="241">
        <f>IF(
        AND(VLOOKUP(AE$2,'TIS Site Config'!$A$3:$AQ$51,32,FALSE)="No",
                   VLOOKUP(AE$2,'TIS Site Config'!$A$3:$AQ$51,34,FALSE)="No"),
             1,0)</f>
        <v>1</v>
      </c>
      <c r="AF51" s="242">
        <f>IF(
        AND(VLOOKUP(AF$2,'TIS Site Config'!$A$3:$AQ$51,32,FALSE)="No",
                   VLOOKUP(AF$2,'TIS Site Config'!$A$3:$AQ$51,34,FALSE)="No"),
             1,0)</f>
        <v>1</v>
      </c>
      <c r="AG51" s="239">
        <f>IF(
        AND(VLOOKUP(AG$2,'TIS Site Config'!$A$3:$AQ$51,32,FALSE)="No",
                   VLOOKUP(AG$2,'TIS Site Config'!$A$3:$AQ$51,34,FALSE)="No"),
             1,0)</f>
        <v>1</v>
      </c>
      <c r="AH51" s="240">
        <f>IF(
        AND(VLOOKUP(AH$2,'TIS Site Config'!$A$3:$AQ$51,32,FALSE)="No",
                   VLOOKUP(AH$2,'TIS Site Config'!$A$3:$AQ$51,34,FALSE)="No"),
             1,0)</f>
        <v>1</v>
      </c>
      <c r="AI51" s="139">
        <f>IF(
        AND(VLOOKUP(AI$2,'TIS Site Config'!$A$3:$AQ$51,32,FALSE)="No",
                   VLOOKUP(AI$2,'TIS Site Config'!$A$3:$AQ$51,34,FALSE)="No"),
             1,0)</f>
        <v>1</v>
      </c>
      <c r="AJ51" s="239">
        <f>IF(
        AND(VLOOKUP(AJ$2,'TIS Site Config'!$A$3:$AQ$51,32,FALSE)="No",
                   VLOOKUP(AJ$2,'TIS Site Config'!$A$3:$AQ$51,34,FALSE)="No"),
             1,0)</f>
        <v>1</v>
      </c>
      <c r="AK51" s="240">
        <f>IF(
        AND(VLOOKUP(AK$2,'TIS Site Config'!$A$3:$AQ$51,32,FALSE)="No",
                   VLOOKUP(AK$2,'TIS Site Config'!$A$3:$AQ$51,34,FALSE)="No"),
             1,0)</f>
        <v>1</v>
      </c>
      <c r="AL51" s="139">
        <f>IF(
        AND(VLOOKUP(AL$2,'TIS Site Config'!$A$3:$AQ$51,32,FALSE)="No",
                   VLOOKUP(AL$2,'TIS Site Config'!$A$3:$AQ$51,34,FALSE)="No"),
             1,0)</f>
        <v>0</v>
      </c>
      <c r="AM51" s="239">
        <f>IF(
        AND(VLOOKUP(AM$2,'TIS Site Config'!$A$3:$AQ$51,32,FALSE)="No",
                   VLOOKUP(AM$2,'TIS Site Config'!$A$3:$AQ$51,34,FALSE)="No"),
             1,0)</f>
        <v>0</v>
      </c>
      <c r="AN51" s="240">
        <f>IF(
        AND(VLOOKUP(AN$2,'TIS Site Config'!$A$3:$AQ$51,32,FALSE)="No",
                   VLOOKUP(AN$2,'TIS Site Config'!$A$3:$AQ$51,34,FALSE)="No"),
             1,0)</f>
        <v>0</v>
      </c>
      <c r="AO51" s="139">
        <f>IF(
        AND(VLOOKUP(AO$2,'TIS Site Config'!$A$3:$AQ$51,32,FALSE)="No",
                   VLOOKUP(AO$2,'TIS Site Config'!$A$3:$AQ$51,34,FALSE)="No"),
             1,0)</f>
        <v>1</v>
      </c>
      <c r="AP51" s="239">
        <f>IF(
        AND(VLOOKUP(AP$2,'TIS Site Config'!$A$3:$AQ$51,32,FALSE)="No",
                   VLOOKUP(AP$2,'TIS Site Config'!$A$3:$AQ$51,34,FALSE)="No"),
             1,0)</f>
        <v>1</v>
      </c>
      <c r="AQ51" s="139">
        <f>IF(
        AND(VLOOKUP(AQ$2,'TIS Site Config'!$A$3:$AQ$51,32,FALSE)="No",
                   VLOOKUP(AQ$2,'TIS Site Config'!$A$3:$AQ$51,34,FALSE)="No"),
             1,0)</f>
        <v>1</v>
      </c>
      <c r="AR51" s="139">
        <f>IF(
        AND(VLOOKUP(AR$2,'TIS Site Config'!$A$3:$AQ$51,32,FALSE)="No",
                   VLOOKUP(AR$2,'TIS Site Config'!$A$3:$AQ$51,34,FALSE)="No"),
             1,0)</f>
        <v>0</v>
      </c>
      <c r="AS51" s="239">
        <f>IF(
        AND(VLOOKUP(AS$2,'TIS Site Config'!$A$3:$AQ$51,32,FALSE)="No",
                   VLOOKUP(AS$2,'TIS Site Config'!$A$3:$AQ$51,34,FALSE)="No"),
             1,0)</f>
        <v>0</v>
      </c>
      <c r="AT51" s="139">
        <f>IF(
        AND(VLOOKUP(AT$2,'TIS Site Config'!$A$3:$AQ$51,32,FALSE)="No",
                   VLOOKUP(AT$2,'TIS Site Config'!$A$3:$AQ$51,34,FALSE)="No"),
             1,0)</f>
        <v>1</v>
      </c>
      <c r="AU51" s="239">
        <f>IF(
        AND(VLOOKUP(AU$2,'TIS Site Config'!$A$3:$AQ$51,32,FALSE)="No",
                   VLOOKUP(AU$2,'TIS Site Config'!$A$3:$AQ$51,34,FALSE)="No"),
             1,0)</f>
        <v>1</v>
      </c>
      <c r="AV51" s="139">
        <f>IF(
        AND(VLOOKUP(AV$2,'TIS Site Config'!$A$3:$AQ$51,32,FALSE)="No",
                   VLOOKUP(AV$2,'TIS Site Config'!$A$3:$AQ$51,34,FALSE)="No"),
             1,0)</f>
        <v>0</v>
      </c>
      <c r="AW51" s="139">
        <f>IF(
        AND(VLOOKUP(AW$2,'TIS Site Config'!$A$3:$AQ$51,32,FALSE)="No",
                   VLOOKUP(AW$2,'TIS Site Config'!$A$3:$AQ$51,34,FALSE)="No"),
             1,0)</f>
        <v>1</v>
      </c>
      <c r="AX51" s="240">
        <f>IF(
        AND(VLOOKUP(AX$2,'TIS Site Config'!$A$3:$AQ$51,32,FALSE)="No",
                   VLOOKUP(AX$2,'TIS Site Config'!$A$3:$AQ$51,34,FALSE)="No"),
             1,0)</f>
        <v>1</v>
      </c>
      <c r="AY51" s="139">
        <f>IF(
        AND(VLOOKUP(AY$2,'TIS Site Config'!$A$3:$AQ$51,32,FALSE)="No",
                   VLOOKUP(AY$2,'TIS Site Config'!$A$3:$AQ$51,34,FALSE)="No"),
             1,0)</f>
        <v>1</v>
      </c>
      <c r="AZ51" s="239">
        <f>IF(
        AND(VLOOKUP(AZ$2,'TIS Site Config'!$A$3:$AQ$51,32,FALSE)="No",
                   VLOOKUP(AZ$2,'TIS Site Config'!$A$3:$AQ$51,34,FALSE)="No"),
             1,0)</f>
        <v>1</v>
      </c>
      <c r="BA51" s="241">
        <f>IF(
        AND(VLOOKUP(BA$2,'TIS Site Config'!$A$3:$AQ$51,32,FALSE)="No",
                   VLOOKUP(BA$2,'TIS Site Config'!$A$3:$AQ$51,34,FALSE)="No"),
             1,0)</f>
        <v>1</v>
      </c>
      <c r="BB51" s="139">
        <f>IF(
        AND(VLOOKUP(BB$2,'TIS Site Config'!$A$3:$AQ$51,32,FALSE)="No",
                   VLOOKUP(BB$2,'TIS Site Config'!$A$3:$AQ$51,34,FALSE)="No"),
             1,0)</f>
        <v>1</v>
      </c>
      <c r="BC51" s="240">
        <f>IF(
        AND(VLOOKUP(BC$2,'TIS Site Config'!$A$3:$AQ$51,32,FALSE)="No",
                   VLOOKUP(BC$2,'TIS Site Config'!$A$3:$AQ$51,34,FALSE)="No"),
             1,0)</f>
        <v>1</v>
      </c>
      <c r="BD51" s="139">
        <f>IF(
        AND(VLOOKUP(BD$2,'TIS Site Config'!$A$3:$AQ$51,32,FALSE)="No",
                   VLOOKUP(BD$2,'TIS Site Config'!$A$3:$AQ$51,34,FALSE)="No"),
             1,0)</f>
        <v>1</v>
      </c>
      <c r="BE51" s="239">
        <f>IF(
        AND(VLOOKUP(BE$2,'TIS Site Config'!$A$3:$AQ$51,32,FALSE)="No",
                   VLOOKUP(BE$2,'TIS Site Config'!$A$3:$AQ$51,34,FALSE)="No"),
             1,0)</f>
        <v>1</v>
      </c>
      <c r="BF51" s="240">
        <f>IF(
        AND(VLOOKUP(BF$2,'TIS Site Config'!$A$3:$AQ$51,32,FALSE)="No",
                   VLOOKUP(BF$2,'TIS Site Config'!$A$3:$AQ$51,34,FALSE)="No"),
             1,0)</f>
        <v>1</v>
      </c>
      <c r="BG51" s="65">
        <f>IF(
        AND(VLOOKUP(BG$2,'TIS Site Config'!$A$3:$AQ$51,32,FALSE)="No",
                   VLOOKUP(BG$2,'TIS Site Config'!$A$3:$AQ$51,34,FALSE)="No"),
             1,0)</f>
        <v>1</v>
      </c>
      <c r="BH51" s="65">
        <f>IF(
        AND(VLOOKUP(BH$2,'TIS Site Config'!$A$3:$AQ$51,32,FALSE)="No",
                   VLOOKUP(BH$2,'TIS Site Config'!$A$3:$AQ$51,34,FALSE)="No"),
             1,0)</f>
        <v>0</v>
      </c>
      <c r="BI51" s="44" t="s">
        <v>967</v>
      </c>
      <c r="BK51" s="44">
        <v>50</v>
      </c>
      <c r="BL51" s="950" t="b">
        <f t="shared" si="4"/>
        <v>0</v>
      </c>
      <c r="BO51" s="950"/>
    </row>
    <row r="52" spans="1:67" s="44" customFormat="1" ht="15.75" thickBot="1" x14ac:dyDescent="0.3">
      <c r="A52" s="1378"/>
      <c r="B52" s="1336"/>
      <c r="C52" s="86" t="s">
        <v>514</v>
      </c>
      <c r="D52" s="91">
        <v>3</v>
      </c>
      <c r="E52" s="85" t="s">
        <v>550</v>
      </c>
      <c r="F52" s="62">
        <f t="shared" si="1"/>
        <v>6</v>
      </c>
      <c r="G52" s="476"/>
      <c r="H52" s="477"/>
      <c r="I52" s="477"/>
      <c r="J52" s="477"/>
      <c r="K52" s="478"/>
      <c r="L52" s="500"/>
      <c r="M52" s="136">
        <f>IF(
        AND(VLOOKUP(M$2,'TIS Site Config'!$A$3:$AQ$51,32,FALSE)="Yes",
                   VLOOKUP(M$2,'TIS Site Config'!$A$3:$AQ$51,34,FALSE)="No"),
             1,0)</f>
        <v>0</v>
      </c>
      <c r="N52" s="222">
        <f>IF(
        AND(VLOOKUP(N$2,'TIS Site Config'!$A$3:$AQ$51,32,FALSE)="Yes",
                   VLOOKUP(N$2,'TIS Site Config'!$A$3:$AQ$51,34,FALSE)="No"),
             1,0)</f>
        <v>0</v>
      </c>
      <c r="O52" s="225">
        <f>IF(
        AND(VLOOKUP(O$2,'TIS Site Config'!$A$3:$AQ$51,32,FALSE)="Yes",
                   VLOOKUP(O$2,'TIS Site Config'!$A$3:$AQ$51,34,FALSE)="No"),
             1,0)</f>
        <v>0</v>
      </c>
      <c r="P52" s="21">
        <f>IF(
        AND(VLOOKUP(P$2,'TIS Site Config'!$A$3:$AQ$51,32,FALSE)="Yes",
                   VLOOKUP(P$2,'TIS Site Config'!$A$3:$AQ$51,34,FALSE)="No"),
             1,0)</f>
        <v>0</v>
      </c>
      <c r="Q52" s="222">
        <f>IF(
        AND(VLOOKUP(Q$2,'TIS Site Config'!$A$3:$AQ$51,32,FALSE)="Yes",
                   VLOOKUP(Q$2,'TIS Site Config'!$A$3:$AQ$51,34,FALSE)="No"),
             1,0)</f>
        <v>0</v>
      </c>
      <c r="R52" s="136">
        <f>IF(
        AND(VLOOKUP(R$2,'TIS Site Config'!$A$3:$AQ$51,32,FALSE)="Yes",
                   VLOOKUP(R$2,'TIS Site Config'!$A$3:$AQ$51,34,FALSE)="No"),
             1,0)</f>
        <v>0</v>
      </c>
      <c r="S52" s="21">
        <f>IF(
        AND(VLOOKUP(S$2,'TIS Site Config'!$A$3:$AQ$51,32,FALSE)="Yes",
                   VLOOKUP(S$2,'TIS Site Config'!$A$3:$AQ$51,34,FALSE)="No"),
             1,0)</f>
        <v>0</v>
      </c>
      <c r="T52" s="222">
        <f>IF(
        AND(VLOOKUP(T$2,'TIS Site Config'!$A$3:$AQ$51,32,FALSE)="Yes",
                   VLOOKUP(T$2,'TIS Site Config'!$A$3:$AQ$51,34,FALSE)="No"),
             1,0)</f>
        <v>0</v>
      </c>
      <c r="U52" s="136">
        <f>IF(
        AND(VLOOKUP(U$2,'TIS Site Config'!$A$3:$AQ$51,32,FALSE)="Yes",
                   VLOOKUP(U$2,'TIS Site Config'!$A$3:$AQ$51,34,FALSE)="No"),
             1,0)</f>
        <v>0</v>
      </c>
      <c r="V52" s="222">
        <f>IF(
        AND(VLOOKUP(V$2,'TIS Site Config'!$A$3:$AQ$51,32,FALSE)="Yes",
                   VLOOKUP(V$2,'TIS Site Config'!$A$3:$AQ$51,34,FALSE)="No"),
             1,0)</f>
        <v>0</v>
      </c>
      <c r="W52" s="224">
        <f>IF(
        AND(VLOOKUP(W$2,'TIS Site Config'!$A$3:$AQ$51,32,FALSE)="Yes",
                   VLOOKUP(W$2,'TIS Site Config'!$A$3:$AQ$51,34,FALSE)="No"),
             1,0)</f>
        <v>0</v>
      </c>
      <c r="X52" s="21">
        <f>IF(
        AND(VLOOKUP(X$2,'TIS Site Config'!$A$3:$AQ$51,32,FALSE)="Yes",
                   VLOOKUP(X$2,'TIS Site Config'!$A$3:$AQ$51,34,FALSE)="No"),
             1,0)</f>
        <v>0</v>
      </c>
      <c r="Y52" s="222">
        <f>IF(
        AND(VLOOKUP(Y$2,'TIS Site Config'!$A$3:$AQ$51,32,FALSE)="Yes",
                   VLOOKUP(Y$2,'TIS Site Config'!$A$3:$AQ$51,34,FALSE)="No"),
             1,0)</f>
        <v>0</v>
      </c>
      <c r="Z52" s="136">
        <f>IF(
        AND(VLOOKUP(Z$2,'TIS Site Config'!$A$3:$AQ$51,32,FALSE)="Yes",
                   VLOOKUP(Z$2,'TIS Site Config'!$A$3:$AQ$51,34,FALSE)="No"),
             1,0)</f>
        <v>0</v>
      </c>
      <c r="AA52" s="21">
        <f>IF(
        AND(VLOOKUP(AA$2,'TIS Site Config'!$A$3:$AQ$51,32,FALSE)="Yes",
                   VLOOKUP(AA$2,'TIS Site Config'!$A$3:$AQ$51,34,FALSE)="No"),
             1,0)</f>
        <v>0</v>
      </c>
      <c r="AB52" s="222">
        <f>IF(
        AND(VLOOKUP(AB$2,'TIS Site Config'!$A$3:$AQ$51,32,FALSE)="Yes",
                   VLOOKUP(AB$2,'TIS Site Config'!$A$3:$AQ$51,34,FALSE)="No"),
             1,0)</f>
        <v>0</v>
      </c>
      <c r="AC52" s="21">
        <f>IF(
        AND(VLOOKUP(AC$2,'TIS Site Config'!$A$3:$AQ$51,32,FALSE)="Yes",
                   VLOOKUP(AC$2,'TIS Site Config'!$A$3:$AQ$51,34,FALSE)="No"),
             1,0)</f>
        <v>0</v>
      </c>
      <c r="AD52" s="223">
        <f>IF(
        AND(VLOOKUP(AD$2,'TIS Site Config'!$A$3:$AQ$51,32,FALSE)="Yes",
                   VLOOKUP(AD$2,'TIS Site Config'!$A$3:$AQ$51,34,FALSE)="No"),
             1,0)</f>
        <v>0</v>
      </c>
      <c r="AE52" s="223">
        <f>IF(
        AND(VLOOKUP(AE$2,'TIS Site Config'!$A$3:$AQ$51,32,FALSE)="Yes",
                   VLOOKUP(AE$2,'TIS Site Config'!$A$3:$AQ$51,34,FALSE)="No"),
             1,0)</f>
        <v>0</v>
      </c>
      <c r="AF52" s="16">
        <f>IF(
        AND(VLOOKUP(AF$2,'TIS Site Config'!$A$3:$AQ$51,32,FALSE)="Yes",
                   VLOOKUP(AF$2,'TIS Site Config'!$A$3:$AQ$51,34,FALSE)="No"),
             1,0)</f>
        <v>0</v>
      </c>
      <c r="AG52" s="21">
        <f>IF(
        AND(VLOOKUP(AG$2,'TIS Site Config'!$A$3:$AQ$51,32,FALSE)="Yes",
                   VLOOKUP(AG$2,'TIS Site Config'!$A$3:$AQ$51,34,FALSE)="No"),
             1,0)</f>
        <v>0</v>
      </c>
      <c r="AH52" s="222">
        <f>IF(
        AND(VLOOKUP(AH$2,'TIS Site Config'!$A$3:$AQ$51,32,FALSE)="Yes",
                   VLOOKUP(AH$2,'TIS Site Config'!$A$3:$AQ$51,34,FALSE)="No"),
             1,0)</f>
        <v>0</v>
      </c>
      <c r="AI52" s="136">
        <f>IF(
        AND(VLOOKUP(AI$2,'TIS Site Config'!$A$3:$AQ$51,32,FALSE)="Yes",
                   VLOOKUP(AI$2,'TIS Site Config'!$A$3:$AQ$51,34,FALSE)="No"),
             1,0)</f>
        <v>0</v>
      </c>
      <c r="AJ52" s="21">
        <f>IF(
        AND(VLOOKUP(AJ$2,'TIS Site Config'!$A$3:$AQ$51,32,FALSE)="Yes",
                   VLOOKUP(AJ$2,'TIS Site Config'!$A$3:$AQ$51,34,FALSE)="No"),
             1,0)</f>
        <v>0</v>
      </c>
      <c r="AK52" s="222">
        <f>IF(
        AND(VLOOKUP(AK$2,'TIS Site Config'!$A$3:$AQ$51,32,FALSE)="Yes",
                   VLOOKUP(AK$2,'TIS Site Config'!$A$3:$AQ$51,34,FALSE)="No"),
             1,0)</f>
        <v>0</v>
      </c>
      <c r="AL52" s="136">
        <f>IF(
        AND(VLOOKUP(AL$2,'TIS Site Config'!$A$3:$AQ$51,32,FALSE)="Yes",
                   VLOOKUP(AL$2,'TIS Site Config'!$A$3:$AQ$51,34,FALSE)="No"),
             1,0)</f>
        <v>1</v>
      </c>
      <c r="AM52" s="21">
        <f>IF(
        AND(VLOOKUP(AM$2,'TIS Site Config'!$A$3:$AQ$51,32,FALSE)="Yes",
                   VLOOKUP(AM$2,'TIS Site Config'!$A$3:$AQ$51,34,FALSE)="No"),
             1,0)</f>
        <v>1</v>
      </c>
      <c r="AN52" s="222">
        <f>IF(
        AND(VLOOKUP(AN$2,'TIS Site Config'!$A$3:$AQ$51,32,FALSE)="Yes",
                   VLOOKUP(AN$2,'TIS Site Config'!$A$3:$AQ$51,34,FALSE)="No"),
             1,0)</f>
        <v>1</v>
      </c>
      <c r="AO52" s="136">
        <f>IF(
        AND(VLOOKUP(AO$2,'TIS Site Config'!$A$3:$AQ$51,32,FALSE)="Yes",
                   VLOOKUP(AO$2,'TIS Site Config'!$A$3:$AQ$51,34,FALSE)="No"),
             1,0)</f>
        <v>0</v>
      </c>
      <c r="AP52" s="21">
        <f>IF(
        AND(VLOOKUP(AP$2,'TIS Site Config'!$A$3:$AQ$51,32,FALSE)="Yes",
                   VLOOKUP(AP$2,'TIS Site Config'!$A$3:$AQ$51,34,FALSE)="No"),
             1,0)</f>
        <v>0</v>
      </c>
      <c r="AQ52" s="136">
        <f>IF(
        AND(VLOOKUP(AQ$2,'TIS Site Config'!$A$3:$AQ$51,32,FALSE)="Yes",
                   VLOOKUP(AQ$2,'TIS Site Config'!$A$3:$AQ$51,34,FALSE)="No"),
             1,0)</f>
        <v>0</v>
      </c>
      <c r="AR52" s="136">
        <f>IF(
        AND(VLOOKUP(AR$2,'TIS Site Config'!$A$3:$AQ$51,32,FALSE)="Yes",
                   VLOOKUP(AR$2,'TIS Site Config'!$A$3:$AQ$51,34,FALSE)="No"),
             1,0)</f>
        <v>1</v>
      </c>
      <c r="AS52" s="21">
        <f>IF(
        AND(VLOOKUP(AS$2,'TIS Site Config'!$A$3:$AQ$51,32,FALSE)="Yes",
                   VLOOKUP(AS$2,'TIS Site Config'!$A$3:$AQ$51,34,FALSE)="No"),
             1,0)</f>
        <v>1</v>
      </c>
      <c r="AT52" s="136">
        <f>IF(
        AND(VLOOKUP(AT$2,'TIS Site Config'!$A$3:$AQ$51,32,FALSE)="Yes",
                   VLOOKUP(AT$2,'TIS Site Config'!$A$3:$AQ$51,34,FALSE)="No"),
             1,0)</f>
        <v>0</v>
      </c>
      <c r="AU52" s="21">
        <f>IF(
        AND(VLOOKUP(AU$2,'TIS Site Config'!$A$3:$AQ$51,32,FALSE)="Yes",
                   VLOOKUP(AU$2,'TIS Site Config'!$A$3:$AQ$51,34,FALSE)="No"),
             1,0)</f>
        <v>0</v>
      </c>
      <c r="AV52" s="136">
        <f>IF(
        AND(VLOOKUP(AV$2,'TIS Site Config'!$A$3:$AQ$51,32,FALSE)="Yes",
                   VLOOKUP(AV$2,'TIS Site Config'!$A$3:$AQ$51,34,FALSE)="No"),
             1,0)</f>
        <v>1</v>
      </c>
      <c r="AW52" s="136">
        <f>IF(
        AND(VLOOKUP(AW$2,'TIS Site Config'!$A$3:$AQ$51,32,FALSE)="Yes",
                   VLOOKUP(AW$2,'TIS Site Config'!$A$3:$AQ$51,34,FALSE)="No"),
             1,0)</f>
        <v>0</v>
      </c>
      <c r="AX52" s="222">
        <f>IF(
        AND(VLOOKUP(AX$2,'TIS Site Config'!$A$3:$AQ$51,32,FALSE)="Yes",
                   VLOOKUP(AX$2,'TIS Site Config'!$A$3:$AQ$51,34,FALSE)="No"),
             1,0)</f>
        <v>0</v>
      </c>
      <c r="AY52" s="136">
        <f>IF(
        AND(VLOOKUP(AY$2,'TIS Site Config'!$A$3:$AQ$51,32,FALSE)="Yes",
                   VLOOKUP(AY$2,'TIS Site Config'!$A$3:$AQ$51,34,FALSE)="No"),
             1,0)</f>
        <v>0</v>
      </c>
      <c r="AZ52" s="21">
        <f>IF(
        AND(VLOOKUP(AZ$2,'TIS Site Config'!$A$3:$AQ$51,32,FALSE)="Yes",
                   VLOOKUP(AZ$2,'TIS Site Config'!$A$3:$AQ$51,34,FALSE)="No"),
             1,0)</f>
        <v>0</v>
      </c>
      <c r="BA52" s="223">
        <f>IF(
        AND(VLOOKUP(BA$2,'TIS Site Config'!$A$3:$AQ$51,32,FALSE)="Yes",
                   VLOOKUP(BA$2,'TIS Site Config'!$A$3:$AQ$51,34,FALSE)="No"),
             1,0)</f>
        <v>0</v>
      </c>
      <c r="BB52" s="136">
        <f>IF(
        AND(VLOOKUP(BB$2,'TIS Site Config'!$A$3:$AQ$51,32,FALSE)="Yes",
                   VLOOKUP(BB$2,'TIS Site Config'!$A$3:$AQ$51,34,FALSE)="No"),
             1,0)</f>
        <v>0</v>
      </c>
      <c r="BC52" s="222">
        <f>IF(
        AND(VLOOKUP(BC$2,'TIS Site Config'!$A$3:$AQ$51,32,FALSE)="Yes",
                   VLOOKUP(BC$2,'TIS Site Config'!$A$3:$AQ$51,34,FALSE)="No"),
             1,0)</f>
        <v>0</v>
      </c>
      <c r="BD52" s="136">
        <f>IF(
        AND(VLOOKUP(BD$2,'TIS Site Config'!$A$3:$AQ$51,32,FALSE)="Yes",
                   VLOOKUP(BD$2,'TIS Site Config'!$A$3:$AQ$51,34,FALSE)="No"),
             1,0)</f>
        <v>0</v>
      </c>
      <c r="BE52" s="21">
        <f>IF(
        AND(VLOOKUP(BE$2,'TIS Site Config'!$A$3:$AQ$51,32,FALSE)="Yes",
                   VLOOKUP(BE$2,'TIS Site Config'!$A$3:$AQ$51,34,FALSE)="No"),
             1,0)</f>
        <v>0</v>
      </c>
      <c r="BF52" s="222">
        <f>IF(
        AND(VLOOKUP(BF$2,'TIS Site Config'!$A$3:$AQ$51,32,FALSE)="Yes",
                   VLOOKUP(BF$2,'TIS Site Config'!$A$3:$AQ$51,34,FALSE)="No"),
             1,0)</f>
        <v>0</v>
      </c>
      <c r="BG52" s="62">
        <f>IF(
        AND(VLOOKUP(BG$2,'TIS Site Config'!$A$3:$AQ$51,32,FALSE)="Yes",
                   VLOOKUP(BG$2,'TIS Site Config'!$A$3:$AQ$51,34,FALSE)="No"),
             1,0)</f>
        <v>0</v>
      </c>
      <c r="BH52" s="62">
        <f>IF(
        AND(VLOOKUP(BH$2,'TIS Site Config'!$A$3:$AQ$51,32,FALSE)="Yes",
                   VLOOKUP(BH$2,'TIS Site Config'!$A$3:$AQ$51,34,FALSE)="No"),
             1,0)</f>
        <v>1</v>
      </c>
      <c r="BK52" s="44">
        <v>9</v>
      </c>
      <c r="BL52" s="950" t="b">
        <f t="shared" si="4"/>
        <v>0</v>
      </c>
      <c r="BO52" s="950"/>
    </row>
    <row r="53" spans="1:67" x14ac:dyDescent="0.25">
      <c r="A53" s="1386" t="s">
        <v>70</v>
      </c>
      <c r="B53" s="1350" t="s">
        <v>2</v>
      </c>
      <c r="C53" s="66" t="s">
        <v>326</v>
      </c>
      <c r="D53" s="89">
        <v>1</v>
      </c>
      <c r="E53" s="112" t="s">
        <v>293</v>
      </c>
      <c r="F53" s="203">
        <f t="shared" si="1"/>
        <v>37</v>
      </c>
      <c r="G53" s="467"/>
      <c r="H53" s="468"/>
      <c r="I53" s="468">
        <v>1</v>
      </c>
      <c r="J53" s="468"/>
      <c r="K53" s="469"/>
      <c r="L53" s="497"/>
      <c r="M53" s="132">
        <f>IF(VLOOKUP(M$2,'TIS Site Config'!$A$4:$AQ$51,3,FALSE)&lt;&gt;"Soft",
          IF(AND(VLOOKUP(M$2,'TIS Site Config'!$A$3:$AQ$51,14,FALSE)="Standard",
        VLOOKUP(M$2,'TIS Site Config'!$A$3:$AQ$51,1,FALSE)&lt;&gt;"WREF"),
          1,0),0)</f>
        <v>1</v>
      </c>
      <c r="N53" s="201">
        <f>IF(VLOOKUP(N$2,'TIS Site Config'!$A$4:$AQ$51,3,FALSE)&lt;&gt;"Soft",
          IF(AND(VLOOKUP(N$2,'TIS Site Config'!$A$3:$AQ$51,14,FALSE)="Standard",
        VLOOKUP(N$2,'TIS Site Config'!$A$3:$AQ$51,1,FALSE)&lt;&gt;"WREF"),
          1,0),0)</f>
        <v>1</v>
      </c>
      <c r="O53" s="205">
        <f>IF(VLOOKUP(O$2,'TIS Site Config'!$A$4:$AQ$51,3,FALSE)&lt;&gt;"Soft",
          IF(AND(VLOOKUP(O$2,'TIS Site Config'!$A$3:$AQ$51,14,FALSE)="Standard",
        VLOOKUP(O$2,'TIS Site Config'!$A$3:$AQ$51,1,FALSE)&lt;&gt;"WREF"),
          1,0),0)</f>
        <v>1</v>
      </c>
      <c r="P53" s="41">
        <f>IF(VLOOKUP(P$2,'TIS Site Config'!$A$4:$AQ$51,3,FALSE)&lt;&gt;"Soft",
          IF(AND(VLOOKUP(P$2,'TIS Site Config'!$A$3:$AQ$51,14,FALSE)="Standard",
        VLOOKUP(P$2,'TIS Site Config'!$A$3:$AQ$51,1,FALSE)&lt;&gt;"WREF"),
          1,0),0)</f>
        <v>0</v>
      </c>
      <c r="Q53" s="201">
        <f>IF(VLOOKUP(Q$2,'TIS Site Config'!$A$4:$AQ$51,3,FALSE)&lt;&gt;"Soft",
          IF(AND(VLOOKUP(Q$2,'TIS Site Config'!$A$3:$AQ$51,14,FALSE)="Standard",
        VLOOKUP(Q$2,'TIS Site Config'!$A$3:$AQ$51,1,FALSE)&lt;&gt;"WREF"),
          1,0),0)</f>
        <v>1</v>
      </c>
      <c r="R53" s="132">
        <f>IF(VLOOKUP(R$2,'TIS Site Config'!$A$4:$AQ$51,3,FALSE)&lt;&gt;"Soft",
          IF(AND(VLOOKUP(R$2,'TIS Site Config'!$A$3:$AQ$51,14,FALSE)="Standard",
        VLOOKUP(R$2,'TIS Site Config'!$A$3:$AQ$51,1,FALSE)&lt;&gt;"WREF"),
          1,0),0)</f>
        <v>1</v>
      </c>
      <c r="S53" s="41">
        <f>IF(VLOOKUP(S$2,'TIS Site Config'!$A$4:$AQ$51,3,FALSE)&lt;&gt;"Soft",
          IF(AND(VLOOKUP(S$2,'TIS Site Config'!$A$3:$AQ$51,14,FALSE)="Standard",
        VLOOKUP(S$2,'TIS Site Config'!$A$3:$AQ$51,1,FALSE)&lt;&gt;"WREF"),
          1,0),0)</f>
        <v>1</v>
      </c>
      <c r="T53" s="201">
        <f>IF(VLOOKUP(T$2,'TIS Site Config'!$A$4:$AQ$51,3,FALSE)&lt;&gt;"Soft",
          IF(AND(VLOOKUP(T$2,'TIS Site Config'!$A$3:$AQ$51,14,FALSE)="Standard",
        VLOOKUP(T$2,'TIS Site Config'!$A$3:$AQ$51,1,FALSE)&lt;&gt;"WREF"),
          1,0),0)</f>
        <v>0</v>
      </c>
      <c r="U53" s="132">
        <f>IF(VLOOKUP(U$2,'TIS Site Config'!$A$4:$AQ$51,3,FALSE)&lt;&gt;"Soft",
          IF(AND(VLOOKUP(U$2,'TIS Site Config'!$A$3:$AQ$51,14,FALSE)="Standard",
        VLOOKUP(U$2,'TIS Site Config'!$A$3:$AQ$51,1,FALSE)&lt;&gt;"WREF"),
          1,0),0)</f>
        <v>1</v>
      </c>
      <c r="V53" s="201">
        <f>IF(VLOOKUP(V$2,'TIS Site Config'!$A$4:$AQ$51,3,FALSE)&lt;&gt;"Soft",
          IF(AND(VLOOKUP(V$2,'TIS Site Config'!$A$3:$AQ$51,14,FALSE)="Standard",
        VLOOKUP(V$2,'TIS Site Config'!$A$3:$AQ$51,1,FALSE)&lt;&gt;"WREF"),
          1,0),0)</f>
        <v>1</v>
      </c>
      <c r="W53" s="204">
        <f>IF(VLOOKUP(W$2,'TIS Site Config'!$A$4:$AQ$51,3,FALSE)&lt;&gt;"Soft",
          IF(AND(VLOOKUP(W$2,'TIS Site Config'!$A$3:$AQ$51,14,FALSE)="Standard",
        VLOOKUP(W$2,'TIS Site Config'!$A$3:$AQ$51,1,FALSE)&lt;&gt;"WREF"),
          1,0),0)</f>
        <v>1</v>
      </c>
      <c r="X53" s="41">
        <f>IF(VLOOKUP(X$2,'TIS Site Config'!$A$4:$AQ$51,3,FALSE)&lt;&gt;"Soft",
          IF(AND(VLOOKUP(X$2,'TIS Site Config'!$A$3:$AQ$51,14,FALSE)="Standard",
        VLOOKUP(X$2,'TIS Site Config'!$A$3:$AQ$51,1,FALSE)&lt;&gt;"WREF"),
          1,0),0)</f>
        <v>0</v>
      </c>
      <c r="Y53" s="201">
        <f>IF(VLOOKUP(Y$2,'TIS Site Config'!$A$4:$AQ$51,3,FALSE)&lt;&gt;"Soft",
          IF(AND(VLOOKUP(Y$2,'TIS Site Config'!$A$3:$AQ$51,14,FALSE)="Standard",
        VLOOKUP(Y$2,'TIS Site Config'!$A$3:$AQ$51,1,FALSE)&lt;&gt;"WREF"),
          1,0),0)</f>
        <v>1</v>
      </c>
      <c r="Z53" s="132">
        <f>IF(VLOOKUP(Z$2,'TIS Site Config'!$A$4:$AQ$51,3,FALSE)&lt;&gt;"Soft",
          IF(AND(VLOOKUP(Z$2,'TIS Site Config'!$A$3:$AQ$51,14,FALSE)="Standard",
        VLOOKUP(Z$2,'TIS Site Config'!$A$3:$AQ$51,1,FALSE)&lt;&gt;"WREF"),
          1,0),0)</f>
        <v>1</v>
      </c>
      <c r="AA53" s="41">
        <f>IF(VLOOKUP(AA$2,'TIS Site Config'!$A$4:$AQ$51,3,FALSE)&lt;&gt;"Soft",
          IF(AND(VLOOKUP(AA$2,'TIS Site Config'!$A$3:$AQ$51,14,FALSE)="Standard",
        VLOOKUP(AA$2,'TIS Site Config'!$A$3:$AQ$51,1,FALSE)&lt;&gt;"WREF"),
          1,0),0)</f>
        <v>1</v>
      </c>
      <c r="AB53" s="201">
        <f>IF(VLOOKUP(AB$2,'TIS Site Config'!$A$4:$AQ$51,3,FALSE)&lt;&gt;"Soft",
          IF(AND(VLOOKUP(AB$2,'TIS Site Config'!$A$3:$AQ$51,14,FALSE)="Standard",
        VLOOKUP(AB$2,'TIS Site Config'!$A$3:$AQ$51,1,FALSE)&lt;&gt;"WREF"),
          1,0),0)</f>
        <v>1</v>
      </c>
      <c r="AC53" s="41">
        <f>IF(VLOOKUP(AC$2,'TIS Site Config'!$A$4:$AQ$51,3,FALSE)&lt;&gt;"Soft",
          IF(AND(VLOOKUP(AC$2,'TIS Site Config'!$A$3:$AQ$51,14,FALSE)="Standard",
        VLOOKUP(AC$2,'TIS Site Config'!$A$3:$AQ$51,1,FALSE)&lt;&gt;"WREF"),
          1,0),0)</f>
        <v>1</v>
      </c>
      <c r="AD53" s="202">
        <f>IF(VLOOKUP(AD$2,'TIS Site Config'!$A$4:$AQ$51,3,FALSE)&lt;&gt;"Soft",
          IF(AND(VLOOKUP(AD$2,'TIS Site Config'!$A$3:$AQ$51,14,FALSE)="Standard",
        VLOOKUP(AD$2,'TIS Site Config'!$A$3:$AQ$51,1,FALSE)&lt;&gt;"WREF"),
          1,0),0)</f>
        <v>1</v>
      </c>
      <c r="AE53" s="202">
        <f>IF(VLOOKUP(AE$2,'TIS Site Config'!$A$4:$AQ$51,3,FALSE)&lt;&gt;"Soft",
          IF(AND(VLOOKUP(AE$2,'TIS Site Config'!$A$3:$AQ$51,14,FALSE)="Standard",
        VLOOKUP(AE$2,'TIS Site Config'!$A$3:$AQ$51,1,FALSE)&lt;&gt;"WREF"),
          1,0),0)</f>
        <v>1</v>
      </c>
      <c r="AF53" s="40">
        <f>IF(VLOOKUP(AF$2,'TIS Site Config'!$A$4:$AQ$51,3,FALSE)&lt;&gt;"Soft",
          IF(AND(VLOOKUP(AF$2,'TIS Site Config'!$A$3:$AQ$51,14,FALSE)="Standard",
        VLOOKUP(AF$2,'TIS Site Config'!$A$3:$AQ$51,1,FALSE)&lt;&gt;"WREF"),
          1,0),0)</f>
        <v>1</v>
      </c>
      <c r="AG53" s="41">
        <f>IF(VLOOKUP(AG$2,'TIS Site Config'!$A$4:$AQ$51,3,FALSE)&lt;&gt;"Soft",
          IF(AND(VLOOKUP(AG$2,'TIS Site Config'!$A$3:$AQ$51,14,FALSE)="Standard",
        VLOOKUP(AG$2,'TIS Site Config'!$A$3:$AQ$51,1,FALSE)&lt;&gt;"WREF"),
          1,0),0)</f>
        <v>1</v>
      </c>
      <c r="AH53" s="201">
        <f>IF(VLOOKUP(AH$2,'TIS Site Config'!$A$4:$AQ$51,3,FALSE)&lt;&gt;"Soft",
          IF(AND(VLOOKUP(AH$2,'TIS Site Config'!$A$3:$AQ$51,14,FALSE)="Standard",
        VLOOKUP(AH$2,'TIS Site Config'!$A$3:$AQ$51,1,FALSE)&lt;&gt;"WREF"),
          1,0),0)</f>
        <v>0</v>
      </c>
      <c r="AI53" s="132">
        <f>IF(VLOOKUP(AI$2,'TIS Site Config'!$A$4:$AQ$51,3,FALSE)&lt;&gt;"Soft",
          IF(AND(VLOOKUP(AI$2,'TIS Site Config'!$A$3:$AQ$51,14,FALSE)="Standard",
        VLOOKUP(AI$2,'TIS Site Config'!$A$3:$AQ$51,1,FALSE)&lt;&gt;"WREF"),
          1,0),0)</f>
        <v>1</v>
      </c>
      <c r="AJ53" s="41">
        <f>IF(VLOOKUP(AJ$2,'TIS Site Config'!$A$4:$AQ$51,3,FALSE)&lt;&gt;"Soft",
          IF(AND(VLOOKUP(AJ$2,'TIS Site Config'!$A$3:$AQ$51,14,FALSE)="Standard",
        VLOOKUP(AJ$2,'TIS Site Config'!$A$3:$AQ$51,1,FALSE)&lt;&gt;"WREF"),
          1,0),0)</f>
        <v>1</v>
      </c>
      <c r="AK53" s="201">
        <f>IF(VLOOKUP(AK$2,'TIS Site Config'!$A$4:$AQ$51,3,FALSE)&lt;&gt;"Soft",
          IF(AND(VLOOKUP(AK$2,'TIS Site Config'!$A$3:$AQ$51,14,FALSE)="Standard",
        VLOOKUP(AK$2,'TIS Site Config'!$A$3:$AQ$51,1,FALSE)&lt;&gt;"WREF"),
          1,0),0)</f>
        <v>1</v>
      </c>
      <c r="AL53" s="1008">
        <f>IF(VLOOKUP(AL$2,'TIS Site Config'!$A$4:$AQ$51,3,FALSE)&lt;&gt;"Soft",
          IF(AND(VLOOKUP(AL$2,'TIS Site Config'!$A$3:$AQ$51,14,FALSE)="Standard",
        VLOOKUP(AL$2,'TIS Site Config'!$A$3:$AQ$51,1,FALSE)&lt;&gt;"WREF"),
          1,0),0)</f>
        <v>1</v>
      </c>
      <c r="AM53" s="41">
        <f>IF(VLOOKUP(AM$2,'TIS Site Config'!$A$4:$AQ$51,3,FALSE)&lt;&gt;"Soft",
          IF(AND(VLOOKUP(AM$2,'TIS Site Config'!$A$3:$AQ$51,14,FALSE)="Standard",
        VLOOKUP(AM$2,'TIS Site Config'!$A$3:$AQ$51,1,FALSE)&lt;&gt;"WREF"),
          1,0),0)</f>
        <v>1</v>
      </c>
      <c r="AN53" s="201">
        <f>IF(VLOOKUP(AN$2,'TIS Site Config'!$A$4:$AQ$51,3,FALSE)&lt;&gt;"Soft",
          IF(AND(VLOOKUP(AN$2,'TIS Site Config'!$A$3:$AQ$51,14,FALSE)="Standard",
        VLOOKUP(AN$2,'TIS Site Config'!$A$3:$AQ$51,1,FALSE)&lt;&gt;"WREF"),
          1,0),0)</f>
        <v>0</v>
      </c>
      <c r="AO53" s="132">
        <f>IF(VLOOKUP(AO$2,'TIS Site Config'!$A$4:$AQ$51,3,FALSE)&lt;&gt;"Soft",
          IF(AND(VLOOKUP(AO$2,'TIS Site Config'!$A$3:$AQ$51,14,FALSE)="Standard",
        VLOOKUP(AO$2,'TIS Site Config'!$A$3:$AQ$51,1,FALSE)&lt;&gt;"WREF"),
          1,0),0)</f>
        <v>1</v>
      </c>
      <c r="AP53" s="41">
        <f>IF(VLOOKUP(AP$2,'TIS Site Config'!$A$4:$AQ$51,3,FALSE)&lt;&gt;"Soft",
          IF(AND(VLOOKUP(AP$2,'TIS Site Config'!$A$3:$AQ$51,14,FALSE)="Standard",
        VLOOKUP(AP$2,'TIS Site Config'!$A$3:$AQ$51,1,FALSE)&lt;&gt;"WREF"),
          1,0),0)</f>
        <v>1</v>
      </c>
      <c r="AQ53" s="132">
        <f>IF(VLOOKUP(AQ$2,'TIS Site Config'!$A$4:$AQ$51,3,FALSE)&lt;&gt;"Soft",
          IF(AND(VLOOKUP(AQ$2,'TIS Site Config'!$A$3:$AQ$51,14,FALSE)="Standard",
        VLOOKUP(AQ$2,'TIS Site Config'!$A$3:$AQ$51,1,FALSE)&lt;&gt;"WREF"),
          1,0),0)</f>
        <v>0</v>
      </c>
      <c r="AR53" s="132">
        <f>IF(VLOOKUP(AR$2,'TIS Site Config'!$A$4:$AQ$51,3,FALSE)&lt;&gt;"Soft",
          IF(AND(VLOOKUP(AR$2,'TIS Site Config'!$A$3:$AQ$51,14,FALSE)="Standard",
        VLOOKUP(AR$2,'TIS Site Config'!$A$3:$AQ$51,1,FALSE)&lt;&gt;"WREF"),
          1,0),0)</f>
        <v>0</v>
      </c>
      <c r="AS53" s="41">
        <f>IF(VLOOKUP(AS$2,'TIS Site Config'!$A$4:$AQ$51,3,FALSE)&lt;&gt;"Soft",
          IF(AND(VLOOKUP(AS$2,'TIS Site Config'!$A$3:$AQ$51,14,FALSE)="Standard",
        VLOOKUP(AS$2,'TIS Site Config'!$A$3:$AQ$51,1,FALSE)&lt;&gt;"WREF"),
          1,0),0)</f>
        <v>1</v>
      </c>
      <c r="AT53" s="132">
        <f>IF(VLOOKUP(AT$2,'TIS Site Config'!$A$4:$AQ$51,3,FALSE)&lt;&gt;"Soft",
          IF(AND(VLOOKUP(AT$2,'TIS Site Config'!$A$3:$AQ$51,14,FALSE)="Standard",
        VLOOKUP(AT$2,'TIS Site Config'!$A$3:$AQ$51,1,FALSE)&lt;&gt;"WREF"),
          1,0),0)</f>
        <v>1</v>
      </c>
      <c r="AU53" s="41">
        <f>IF(VLOOKUP(AU$2,'TIS Site Config'!$A$4:$AQ$51,3,FALSE)&lt;&gt;"Soft",
          IF(AND(VLOOKUP(AU$2,'TIS Site Config'!$A$3:$AQ$51,14,FALSE)="Standard",
        VLOOKUP(AU$2,'TIS Site Config'!$A$3:$AQ$51,1,FALSE)&lt;&gt;"WREF"),
          1,0),0)</f>
        <v>1</v>
      </c>
      <c r="AV53" s="132">
        <f>IF(VLOOKUP(AV$2,'TIS Site Config'!$A$4:$AQ$51,3,FALSE)&lt;&gt;"Soft",
          IF(AND(VLOOKUP(AV$2,'TIS Site Config'!$A$3:$AQ$51,14,FALSE)="Standard",
        VLOOKUP(AV$2,'TIS Site Config'!$A$3:$AQ$51,1,FALSE)&lt;&gt;"WREF"),
          1,0),0)</f>
        <v>1</v>
      </c>
      <c r="AW53" s="132">
        <f>IF(VLOOKUP(AW$2,'TIS Site Config'!$A$4:$AQ$51,3,FALSE)&lt;&gt;"Soft",
          IF(AND(VLOOKUP(AW$2,'TIS Site Config'!$A$3:$AQ$51,14,FALSE)="Standard",
        VLOOKUP(AW$2,'TIS Site Config'!$A$3:$AQ$51,1,FALSE)&lt;&gt;"WREF"),
          1,0),0)</f>
        <v>0</v>
      </c>
      <c r="AX53" s="201">
        <f>IF(VLOOKUP(AX$2,'TIS Site Config'!$A$4:$AQ$51,3,FALSE)&lt;&gt;"Soft",
          IF(AND(VLOOKUP(AX$2,'TIS Site Config'!$A$3:$AQ$51,14,FALSE)="Standard",
        VLOOKUP(AX$2,'TIS Site Config'!$A$3:$AQ$51,1,FALSE)&lt;&gt;"WREF"),
          1,0),0)</f>
        <v>0</v>
      </c>
      <c r="AY53" s="132">
        <f>IF(VLOOKUP(AY$2,'TIS Site Config'!$A$4:$AQ$51,3,FALSE)&lt;&gt;"Soft",
          IF(AND(VLOOKUP(AY$2,'TIS Site Config'!$A$3:$AQ$51,14,FALSE)="Standard",
        VLOOKUP(AY$2,'TIS Site Config'!$A$3:$AQ$51,1,FALSE)&lt;&gt;"WREF"),
          1,0),0)</f>
        <v>1</v>
      </c>
      <c r="AZ53" s="41">
        <f>IF(VLOOKUP(AZ$2,'TIS Site Config'!$A$4:$AQ$51,3,FALSE)&lt;&gt;"Soft",
          IF(AND(VLOOKUP(AZ$2,'TIS Site Config'!$A$3:$AQ$51,14,FALSE)="Standard",
        VLOOKUP(AZ$2,'TIS Site Config'!$A$3:$AQ$51,1,FALSE)&lt;&gt;"WREF"),
          1,0),0)</f>
        <v>1</v>
      </c>
      <c r="BA53" s="202">
        <f>IF(VLOOKUP(BA$2,'TIS Site Config'!$A$4:$AQ$51,3,FALSE)&lt;&gt;"Soft",
          IF(AND(VLOOKUP(BA$2,'TIS Site Config'!$A$3:$AQ$51,14,FALSE)="Standard",
        VLOOKUP(BA$2,'TIS Site Config'!$A$3:$AQ$51,1,FALSE)&lt;&gt;"WREF"),
          1,0),0)</f>
        <v>0</v>
      </c>
      <c r="BB53" s="132">
        <f>IF(VLOOKUP(BB$2,'TIS Site Config'!$A$4:$AQ$51,3,FALSE)&lt;&gt;"Soft",
          IF(AND(VLOOKUP(BB$2,'TIS Site Config'!$A$3:$AQ$51,14,FALSE)="Standard",
        VLOOKUP(BB$2,'TIS Site Config'!$A$3:$AQ$51,1,FALSE)&lt;&gt;"WREF"),
          1,0),0)</f>
        <v>1</v>
      </c>
      <c r="BC53" s="201">
        <f>IF(VLOOKUP(BC$2,'TIS Site Config'!$A$4:$AQ$51,3,FALSE)&lt;&gt;"Soft",
          IF(AND(VLOOKUP(BC$2,'TIS Site Config'!$A$3:$AQ$51,14,FALSE)="Standard",
        VLOOKUP(BC$2,'TIS Site Config'!$A$3:$AQ$51,1,FALSE)&lt;&gt;"WREF"),
          1,0),0)</f>
        <v>1</v>
      </c>
      <c r="BD53" s="132">
        <f>IF(VLOOKUP(BD$2,'TIS Site Config'!$A$4:$AQ$51,3,FALSE)&lt;&gt;"Soft",
          IF(AND(VLOOKUP(BD$2,'TIS Site Config'!$A$3:$AQ$51,14,FALSE)="Standard",
        VLOOKUP(BD$2,'TIS Site Config'!$A$3:$AQ$51,1,FALSE)&lt;&gt;"WREF"),
          1,0),0)</f>
        <v>1</v>
      </c>
      <c r="BE53" s="41">
        <f>IF(VLOOKUP(BE$2,'TIS Site Config'!$A$4:$AQ$51,3,FALSE)&lt;&gt;"Soft",
          IF(AND(VLOOKUP(BE$2,'TIS Site Config'!$A$3:$AQ$51,14,FALSE)="Standard",
        VLOOKUP(BE$2,'TIS Site Config'!$A$3:$AQ$51,1,FALSE)&lt;&gt;"WREF"),
          1,0),0)</f>
        <v>1</v>
      </c>
      <c r="BF53" s="201">
        <f>IF(VLOOKUP(BF$2,'TIS Site Config'!$A$4:$AQ$51,3,FALSE)&lt;&gt;"Soft",
          IF(AND(VLOOKUP(BF$2,'TIS Site Config'!$A$3:$AQ$51,14,FALSE)="Standard",
        VLOOKUP(BF$2,'TIS Site Config'!$A$3:$AQ$51,1,FALSE)&lt;&gt;"WREF"),
          1,0),0)</f>
        <v>1</v>
      </c>
      <c r="BG53" s="203">
        <f>IF(VLOOKUP(BG$2,'TIS Site Config'!$A$4:$AQ$51,3,FALSE)&lt;&gt;"Soft",
          IF(AND(VLOOKUP(BG$2,'TIS Site Config'!$A$3:$AQ$51,14,FALSE)="Standard",
        VLOOKUP(BG$2,'TIS Site Config'!$A$3:$AQ$51,1,FALSE)&lt;&gt;"WREF"),
          1,0),0)</f>
        <v>1</v>
      </c>
      <c r="BH53" s="203">
        <f>IF(VLOOKUP(BH$2,'TIS Site Config'!$A$4:$AQ$51,3,FALSE)&lt;&gt;"Soft",
          IF(AND(VLOOKUP(BH$2,'TIS Site Config'!$A$3:$AQ$51,14,FALSE)="Standard",
        VLOOKUP(BH$2,'TIS Site Config'!$A$3:$AQ$51,1,FALSE)&lt;&gt;"WREF"),
          1,0),0)</f>
        <v>1</v>
      </c>
      <c r="BK53" s="3">
        <v>41</v>
      </c>
      <c r="BL53" s="950" t="b">
        <f t="shared" si="4"/>
        <v>0</v>
      </c>
      <c r="BO53" s="950"/>
    </row>
    <row r="54" spans="1:67" x14ac:dyDescent="0.25">
      <c r="A54" s="1366"/>
      <c r="B54" s="1333"/>
      <c r="C54" s="69" t="s">
        <v>325</v>
      </c>
      <c r="D54" s="91">
        <v>1</v>
      </c>
      <c r="E54" s="85" t="s">
        <v>319</v>
      </c>
      <c r="F54" s="62">
        <f t="shared" si="1"/>
        <v>9</v>
      </c>
      <c r="G54" s="450"/>
      <c r="H54" s="451"/>
      <c r="I54" s="451">
        <v>1</v>
      </c>
      <c r="J54" s="451"/>
      <c r="K54" s="452"/>
      <c r="L54" s="491"/>
      <c r="M54" s="136">
        <f>IF(VLOOKUP(M$2,'TIS Site Config'!$A$4:$AQ$51,3,FALSE)&lt;&gt;"Soft",
          IF(
   AND(OR(VLOOKUP(M$2,'TIS Site Config'!$A$3:$AQ$51,14,FALSE)="Heavy",
                      VLOOKUP(M$2,'TIS Site Config'!$A$3:$AQ$51,14,FALSE)="Extreme"),
              VLOOKUP(M$2,'TIS Site Config'!$A$3:$AQ$51,1,FALSE)&lt;&gt;"WREF"),
              1,0),0)</f>
        <v>0</v>
      </c>
      <c r="N54" s="222">
        <f>IF(VLOOKUP(N$2,'TIS Site Config'!$A$4:$AQ$51,3,FALSE)&lt;&gt;"Soft",
          IF(
   AND(OR(VLOOKUP(N$2,'TIS Site Config'!$A$3:$AQ$51,14,FALSE)="Heavy",
                      VLOOKUP(N$2,'TIS Site Config'!$A$3:$AQ$51,14,FALSE)="Extreme"),
              VLOOKUP(N$2,'TIS Site Config'!$A$3:$AQ$51,1,FALSE)&lt;&gt;"WREF"),
              1,0),0)</f>
        <v>0</v>
      </c>
      <c r="O54" s="225">
        <f>IF(VLOOKUP(O$2,'TIS Site Config'!$A$4:$AQ$51,3,FALSE)&lt;&gt;"Soft",
          IF(
   AND(OR(VLOOKUP(O$2,'TIS Site Config'!$A$3:$AQ$51,14,FALSE)="Heavy",
                      VLOOKUP(O$2,'TIS Site Config'!$A$3:$AQ$51,14,FALSE)="Extreme"),
              VLOOKUP(O$2,'TIS Site Config'!$A$3:$AQ$51,1,FALSE)&lt;&gt;"WREF"),
              1,0),0)</f>
        <v>0</v>
      </c>
      <c r="P54" s="21">
        <f>IF(VLOOKUP(P$2,'TIS Site Config'!$A$4:$AQ$51,3,FALSE)&lt;&gt;"Soft",
          IF(
   AND(OR(VLOOKUP(P$2,'TIS Site Config'!$A$3:$AQ$51,14,FALSE)="Heavy",
                      VLOOKUP(P$2,'TIS Site Config'!$A$3:$AQ$51,14,FALSE)="Extreme"),
              VLOOKUP(P$2,'TIS Site Config'!$A$3:$AQ$51,1,FALSE)&lt;&gt;"WREF"),
              1,0),0)</f>
        <v>1</v>
      </c>
      <c r="Q54" s="222">
        <f>IF(VLOOKUP(Q$2,'TIS Site Config'!$A$4:$AQ$51,3,FALSE)&lt;&gt;"Soft",
          IF(
   AND(OR(VLOOKUP(Q$2,'TIS Site Config'!$A$3:$AQ$51,14,FALSE)="Heavy",
                      VLOOKUP(Q$2,'TIS Site Config'!$A$3:$AQ$51,14,FALSE)="Extreme"),
              VLOOKUP(Q$2,'TIS Site Config'!$A$3:$AQ$51,1,FALSE)&lt;&gt;"WREF"),
              1,0),0)</f>
        <v>0</v>
      </c>
      <c r="R54" s="136">
        <f>IF(VLOOKUP(R$2,'TIS Site Config'!$A$4:$AQ$51,3,FALSE)&lt;&gt;"Soft",
          IF(
   AND(OR(VLOOKUP(R$2,'TIS Site Config'!$A$3:$AQ$51,14,FALSE)="Heavy",
                      VLOOKUP(R$2,'TIS Site Config'!$A$3:$AQ$51,14,FALSE)="Extreme"),
              VLOOKUP(R$2,'TIS Site Config'!$A$3:$AQ$51,1,FALSE)&lt;&gt;"WREF"),
              1,0),0)</f>
        <v>0</v>
      </c>
      <c r="S54" s="21">
        <f>IF(VLOOKUP(S$2,'TIS Site Config'!$A$4:$AQ$51,3,FALSE)&lt;&gt;"Soft",
          IF(
   AND(OR(VLOOKUP(S$2,'TIS Site Config'!$A$3:$AQ$51,14,FALSE)="Heavy",
                      VLOOKUP(S$2,'TIS Site Config'!$A$3:$AQ$51,14,FALSE)="Extreme"),
              VLOOKUP(S$2,'TIS Site Config'!$A$3:$AQ$51,1,FALSE)&lt;&gt;"WREF"),
              1,0),0)</f>
        <v>0</v>
      </c>
      <c r="T54" s="222">
        <f>IF(VLOOKUP(T$2,'TIS Site Config'!$A$4:$AQ$51,3,FALSE)&lt;&gt;"Soft",
          IF(
   AND(OR(VLOOKUP(T$2,'TIS Site Config'!$A$3:$AQ$51,14,FALSE)="Heavy",
                      VLOOKUP(T$2,'TIS Site Config'!$A$3:$AQ$51,14,FALSE)="Extreme"),
              VLOOKUP(T$2,'TIS Site Config'!$A$3:$AQ$51,1,FALSE)&lt;&gt;"WREF"),
              1,0),0)</f>
        <v>1</v>
      </c>
      <c r="U54" s="136">
        <f>IF(VLOOKUP(U$2,'TIS Site Config'!$A$4:$AQ$51,3,FALSE)&lt;&gt;"Soft",
          IF(
   AND(OR(VLOOKUP(U$2,'TIS Site Config'!$A$3:$AQ$51,14,FALSE)="Heavy",
                      VLOOKUP(U$2,'TIS Site Config'!$A$3:$AQ$51,14,FALSE)="Extreme"),
              VLOOKUP(U$2,'TIS Site Config'!$A$3:$AQ$51,1,FALSE)&lt;&gt;"WREF"),
              1,0),0)</f>
        <v>0</v>
      </c>
      <c r="V54" s="222">
        <f>IF(VLOOKUP(V$2,'TIS Site Config'!$A$4:$AQ$51,3,FALSE)&lt;&gt;"Soft",
          IF(
   AND(OR(VLOOKUP(V$2,'TIS Site Config'!$A$3:$AQ$51,14,FALSE)="Heavy",
                      VLOOKUP(V$2,'TIS Site Config'!$A$3:$AQ$51,14,FALSE)="Extreme"),
              VLOOKUP(V$2,'TIS Site Config'!$A$3:$AQ$51,1,FALSE)&lt;&gt;"WREF"),
              1,0),0)</f>
        <v>0</v>
      </c>
      <c r="W54" s="224">
        <f>IF(VLOOKUP(W$2,'TIS Site Config'!$A$4:$AQ$51,3,FALSE)&lt;&gt;"Soft",
          IF(
   AND(OR(VLOOKUP(W$2,'TIS Site Config'!$A$3:$AQ$51,14,FALSE)="Heavy",
                      VLOOKUP(W$2,'TIS Site Config'!$A$3:$AQ$51,14,FALSE)="Extreme"),
              VLOOKUP(W$2,'TIS Site Config'!$A$3:$AQ$51,1,FALSE)&lt;&gt;"WREF"),
              1,0),0)</f>
        <v>0</v>
      </c>
      <c r="X54" s="21">
        <f>IF(VLOOKUP(X$2,'TIS Site Config'!$A$4:$AQ$51,3,FALSE)&lt;&gt;"Soft",
          IF(
   AND(OR(VLOOKUP(X$2,'TIS Site Config'!$A$3:$AQ$51,14,FALSE)="Heavy",
                      VLOOKUP(X$2,'TIS Site Config'!$A$3:$AQ$51,14,FALSE)="Extreme"),
              VLOOKUP(X$2,'TIS Site Config'!$A$3:$AQ$51,1,FALSE)&lt;&gt;"WREF"),
              1,0),0)</f>
        <v>1</v>
      </c>
      <c r="Y54" s="222">
        <f>IF(VLOOKUP(Y$2,'TIS Site Config'!$A$4:$AQ$51,3,FALSE)&lt;&gt;"Soft",
          IF(
   AND(OR(VLOOKUP(Y$2,'TIS Site Config'!$A$3:$AQ$51,14,FALSE)="Heavy",
                      VLOOKUP(Y$2,'TIS Site Config'!$A$3:$AQ$51,14,FALSE)="Extreme"),
              VLOOKUP(Y$2,'TIS Site Config'!$A$3:$AQ$51,1,FALSE)&lt;&gt;"WREF"),
              1,0),0)</f>
        <v>0</v>
      </c>
      <c r="Z54" s="136">
        <f>IF(VLOOKUP(Z$2,'TIS Site Config'!$A$4:$AQ$51,3,FALSE)&lt;&gt;"Soft",
          IF(
   AND(OR(VLOOKUP(Z$2,'TIS Site Config'!$A$3:$AQ$51,14,FALSE)="Heavy",
                      VLOOKUP(Z$2,'TIS Site Config'!$A$3:$AQ$51,14,FALSE)="Extreme"),
              VLOOKUP(Z$2,'TIS Site Config'!$A$3:$AQ$51,1,FALSE)&lt;&gt;"WREF"),
              1,0),0)</f>
        <v>0</v>
      </c>
      <c r="AA54" s="21">
        <f>IF(VLOOKUP(AA$2,'TIS Site Config'!$A$4:$AQ$51,3,FALSE)&lt;&gt;"Soft",
          IF(
   AND(OR(VLOOKUP(AA$2,'TIS Site Config'!$A$3:$AQ$51,14,FALSE)="Heavy",
                      VLOOKUP(AA$2,'TIS Site Config'!$A$3:$AQ$51,14,FALSE)="Extreme"),
              VLOOKUP(AA$2,'TIS Site Config'!$A$3:$AQ$51,1,FALSE)&lt;&gt;"WREF"),
              1,0),0)</f>
        <v>0</v>
      </c>
      <c r="AB54" s="222">
        <f>IF(VLOOKUP(AB$2,'TIS Site Config'!$A$4:$AQ$51,3,FALSE)&lt;&gt;"Soft",
          IF(
   AND(OR(VLOOKUP(AB$2,'TIS Site Config'!$A$3:$AQ$51,14,FALSE)="Heavy",
                      VLOOKUP(AB$2,'TIS Site Config'!$A$3:$AQ$51,14,FALSE)="Extreme"),
              VLOOKUP(AB$2,'TIS Site Config'!$A$3:$AQ$51,1,FALSE)&lt;&gt;"WREF"),
              1,0),0)</f>
        <v>0</v>
      </c>
      <c r="AC54" s="21">
        <f>IF(VLOOKUP(AC$2,'TIS Site Config'!$A$4:$AQ$51,3,FALSE)&lt;&gt;"Soft",
          IF(
   AND(OR(VLOOKUP(AC$2,'TIS Site Config'!$A$3:$AQ$51,14,FALSE)="Heavy",
                      VLOOKUP(AC$2,'TIS Site Config'!$A$3:$AQ$51,14,FALSE)="Extreme"),
              VLOOKUP(AC$2,'TIS Site Config'!$A$3:$AQ$51,1,FALSE)&lt;&gt;"WREF"),
              1,0),0)</f>
        <v>0</v>
      </c>
      <c r="AD54" s="223">
        <f>IF(VLOOKUP(AD$2,'TIS Site Config'!$A$4:$AQ$51,3,FALSE)&lt;&gt;"Soft",
          IF(
   AND(OR(VLOOKUP(AD$2,'TIS Site Config'!$A$3:$AQ$51,14,FALSE)="Heavy",
                      VLOOKUP(AD$2,'TIS Site Config'!$A$3:$AQ$51,14,FALSE)="Extreme"),
              VLOOKUP(AD$2,'TIS Site Config'!$A$3:$AQ$51,1,FALSE)&lt;&gt;"WREF"),
              1,0),0)</f>
        <v>0</v>
      </c>
      <c r="AE54" s="223">
        <f>IF(VLOOKUP(AE$2,'TIS Site Config'!$A$4:$AQ$51,3,FALSE)&lt;&gt;"Soft",
          IF(
   AND(OR(VLOOKUP(AE$2,'TIS Site Config'!$A$3:$AQ$51,14,FALSE)="Heavy",
                      VLOOKUP(AE$2,'TIS Site Config'!$A$3:$AQ$51,14,FALSE)="Extreme"),
              VLOOKUP(AE$2,'TIS Site Config'!$A$3:$AQ$51,1,FALSE)&lt;&gt;"WREF"),
              1,0),0)</f>
        <v>0</v>
      </c>
      <c r="AF54" s="16">
        <f>IF(VLOOKUP(AF$2,'TIS Site Config'!$A$4:$AQ$51,3,FALSE)&lt;&gt;"Soft",
          IF(
   AND(OR(VLOOKUP(AF$2,'TIS Site Config'!$A$3:$AQ$51,14,FALSE)="Heavy",
                      VLOOKUP(AF$2,'TIS Site Config'!$A$3:$AQ$51,14,FALSE)="Extreme"),
              VLOOKUP(AF$2,'TIS Site Config'!$A$3:$AQ$51,1,FALSE)&lt;&gt;"WREF"),
              1,0),0)</f>
        <v>0</v>
      </c>
      <c r="AG54" s="21">
        <f>IF(VLOOKUP(AG$2,'TIS Site Config'!$A$4:$AQ$51,3,FALSE)&lt;&gt;"Soft",
          IF(
   AND(OR(VLOOKUP(AG$2,'TIS Site Config'!$A$3:$AQ$51,14,FALSE)="Heavy",
                      VLOOKUP(AG$2,'TIS Site Config'!$A$3:$AQ$51,14,FALSE)="Extreme"),
              VLOOKUP(AG$2,'TIS Site Config'!$A$3:$AQ$51,1,FALSE)&lt;&gt;"WREF"),
              1,0),0)</f>
        <v>0</v>
      </c>
      <c r="AH54" s="222">
        <f>IF(VLOOKUP(AH$2,'TIS Site Config'!$A$4:$AQ$51,3,FALSE)&lt;&gt;"Soft",
          IF(
   AND(OR(VLOOKUP(AH$2,'TIS Site Config'!$A$3:$AQ$51,14,FALSE)="Heavy",
                      VLOOKUP(AH$2,'TIS Site Config'!$A$3:$AQ$51,14,FALSE)="Extreme"),
              VLOOKUP(AH$2,'TIS Site Config'!$A$3:$AQ$51,1,FALSE)&lt;&gt;"WREF"),
              1,0),0)</f>
        <v>1</v>
      </c>
      <c r="AI54" s="136">
        <f>IF(VLOOKUP(AI$2,'TIS Site Config'!$A$4:$AQ$51,3,FALSE)&lt;&gt;"Soft",
          IF(
   AND(OR(VLOOKUP(AI$2,'TIS Site Config'!$A$3:$AQ$51,14,FALSE)="Heavy",
                      VLOOKUP(AI$2,'TIS Site Config'!$A$3:$AQ$51,14,FALSE)="Extreme"),
              VLOOKUP(AI$2,'TIS Site Config'!$A$3:$AQ$51,1,FALSE)&lt;&gt;"WREF"),
              1,0),0)</f>
        <v>0</v>
      </c>
      <c r="AJ54" s="21">
        <f>IF(VLOOKUP(AJ$2,'TIS Site Config'!$A$4:$AQ$51,3,FALSE)&lt;&gt;"Soft",
          IF(
   AND(OR(VLOOKUP(AJ$2,'TIS Site Config'!$A$3:$AQ$51,14,FALSE)="Heavy",
                      VLOOKUP(AJ$2,'TIS Site Config'!$A$3:$AQ$51,14,FALSE)="Extreme"),
              VLOOKUP(AJ$2,'TIS Site Config'!$A$3:$AQ$51,1,FALSE)&lt;&gt;"WREF"),
              1,0),0)</f>
        <v>0</v>
      </c>
      <c r="AK54" s="222">
        <f>IF(VLOOKUP(AK$2,'TIS Site Config'!$A$4:$AQ$51,3,FALSE)&lt;&gt;"Soft",
          IF(
   AND(OR(VLOOKUP(AK$2,'TIS Site Config'!$A$3:$AQ$51,14,FALSE)="Heavy",
                      VLOOKUP(AK$2,'TIS Site Config'!$A$3:$AQ$51,14,FALSE)="Extreme"),
              VLOOKUP(AK$2,'TIS Site Config'!$A$3:$AQ$51,1,FALSE)&lt;&gt;"WREF"),
              1,0),0)</f>
        <v>0</v>
      </c>
      <c r="AL54" s="136">
        <f>IF(VLOOKUP(AL$2,'TIS Site Config'!$A$4:$AQ$51,3,FALSE)&lt;&gt;"Soft",
          IF(
   AND(OR(VLOOKUP(AL$2,'TIS Site Config'!$A$3:$AQ$51,14,FALSE)="Heavy",
                      VLOOKUP(AL$2,'TIS Site Config'!$A$3:$AQ$51,14,FALSE)="Extreme"),
              VLOOKUP(AL$2,'TIS Site Config'!$A$3:$AQ$51,1,FALSE)&lt;&gt;"WREF"),
              1,0),0)</f>
        <v>0</v>
      </c>
      <c r="AM54" s="21">
        <f>IF(VLOOKUP(AM$2,'TIS Site Config'!$A$4:$AQ$51,3,FALSE)&lt;&gt;"Soft",
          IF(
   AND(OR(VLOOKUP(AM$2,'TIS Site Config'!$A$3:$AQ$51,14,FALSE)="Heavy",
                      VLOOKUP(AM$2,'TIS Site Config'!$A$3:$AQ$51,14,FALSE)="Extreme"),
              VLOOKUP(AM$2,'TIS Site Config'!$A$3:$AQ$51,1,FALSE)&lt;&gt;"WREF"),
              1,0),0)</f>
        <v>0</v>
      </c>
      <c r="AN54" s="222">
        <f>IF(VLOOKUP(AN$2,'TIS Site Config'!$A$4:$AQ$51,3,FALSE)&lt;&gt;"Soft",
          IF(
   AND(OR(VLOOKUP(AN$2,'TIS Site Config'!$A$3:$AQ$51,14,FALSE)="Heavy",
                      VLOOKUP(AN$2,'TIS Site Config'!$A$3:$AQ$51,14,FALSE)="Extreme"),
              VLOOKUP(AN$2,'TIS Site Config'!$A$3:$AQ$51,1,FALSE)&lt;&gt;"WREF"),
              1,0),0)</f>
        <v>1</v>
      </c>
      <c r="AO54" s="136">
        <f>IF(VLOOKUP(AO$2,'TIS Site Config'!$A$4:$AQ$51,3,FALSE)&lt;&gt;"Soft",
          IF(
   AND(OR(VLOOKUP(AO$2,'TIS Site Config'!$A$3:$AQ$51,14,FALSE)="Heavy",
                      VLOOKUP(AO$2,'TIS Site Config'!$A$3:$AQ$51,14,FALSE)="Extreme"),
              VLOOKUP(AO$2,'TIS Site Config'!$A$3:$AQ$51,1,FALSE)&lt;&gt;"WREF"),
              1,0),0)</f>
        <v>0</v>
      </c>
      <c r="AP54" s="21">
        <f>IF(VLOOKUP(AP$2,'TIS Site Config'!$A$4:$AQ$51,3,FALSE)&lt;&gt;"Soft",
          IF(
   AND(OR(VLOOKUP(AP$2,'TIS Site Config'!$A$3:$AQ$51,14,FALSE)="Heavy",
                      VLOOKUP(AP$2,'TIS Site Config'!$A$3:$AQ$51,14,FALSE)="Extreme"),
              VLOOKUP(AP$2,'TIS Site Config'!$A$3:$AQ$51,1,FALSE)&lt;&gt;"WREF"),
              1,0),0)</f>
        <v>0</v>
      </c>
      <c r="AQ54" s="136">
        <f>IF(VLOOKUP(AQ$2,'TIS Site Config'!$A$4:$AQ$51,3,FALSE)&lt;&gt;"Soft",
          IF(
   AND(OR(VLOOKUP(AQ$2,'TIS Site Config'!$A$3:$AQ$51,14,FALSE)="Heavy",
                      VLOOKUP(AQ$2,'TIS Site Config'!$A$3:$AQ$51,14,FALSE)="Extreme"),
              VLOOKUP(AQ$2,'TIS Site Config'!$A$3:$AQ$51,1,FALSE)&lt;&gt;"WREF"),
              1,0),0)</f>
        <v>1</v>
      </c>
      <c r="AR54" s="136">
        <f>IF(VLOOKUP(AR$2,'TIS Site Config'!$A$4:$AQ$51,3,FALSE)&lt;&gt;"Soft",
          IF(
   AND(OR(VLOOKUP(AR$2,'TIS Site Config'!$A$3:$AQ$51,14,FALSE)="Heavy",
                      VLOOKUP(AR$2,'TIS Site Config'!$A$3:$AQ$51,14,FALSE)="Extreme"),
              VLOOKUP(AR$2,'TIS Site Config'!$A$3:$AQ$51,1,FALSE)&lt;&gt;"WREF"),
              1,0),0)</f>
        <v>1</v>
      </c>
      <c r="AS54" s="21">
        <f>IF(VLOOKUP(AS$2,'TIS Site Config'!$A$4:$AQ$51,3,FALSE)&lt;&gt;"Soft",
          IF(
   AND(OR(VLOOKUP(AS$2,'TIS Site Config'!$A$3:$AQ$51,14,FALSE)="Heavy",
                      VLOOKUP(AS$2,'TIS Site Config'!$A$3:$AQ$51,14,FALSE)="Extreme"),
              VLOOKUP(AS$2,'TIS Site Config'!$A$3:$AQ$51,1,FALSE)&lt;&gt;"WREF"),
              1,0),0)</f>
        <v>0</v>
      </c>
      <c r="AT54" s="136">
        <f>IF(VLOOKUP(AT$2,'TIS Site Config'!$A$4:$AQ$51,3,FALSE)&lt;&gt;"Soft",
          IF(
   AND(OR(VLOOKUP(AT$2,'TIS Site Config'!$A$3:$AQ$51,14,FALSE)="Heavy",
                      VLOOKUP(AT$2,'TIS Site Config'!$A$3:$AQ$51,14,FALSE)="Extreme"),
              VLOOKUP(AT$2,'TIS Site Config'!$A$3:$AQ$51,1,FALSE)&lt;&gt;"WREF"),
              1,0),0)</f>
        <v>0</v>
      </c>
      <c r="AU54" s="21">
        <f>IF(VLOOKUP(AU$2,'TIS Site Config'!$A$4:$AQ$51,3,FALSE)&lt;&gt;"Soft",
          IF(
   AND(OR(VLOOKUP(AU$2,'TIS Site Config'!$A$3:$AQ$51,14,FALSE)="Heavy",
                      VLOOKUP(AU$2,'TIS Site Config'!$A$3:$AQ$51,14,FALSE)="Extreme"),
              VLOOKUP(AU$2,'TIS Site Config'!$A$3:$AQ$51,1,FALSE)&lt;&gt;"WREF"),
              1,0),0)</f>
        <v>0</v>
      </c>
      <c r="AV54" s="136">
        <f>IF(VLOOKUP(AV$2,'TIS Site Config'!$A$4:$AQ$51,3,FALSE)&lt;&gt;"Soft",
          IF(
   AND(OR(VLOOKUP(AV$2,'TIS Site Config'!$A$3:$AQ$51,14,FALSE)="Heavy",
                      VLOOKUP(AV$2,'TIS Site Config'!$A$3:$AQ$51,14,FALSE)="Extreme"),
              VLOOKUP(AV$2,'TIS Site Config'!$A$3:$AQ$51,1,FALSE)&lt;&gt;"WREF"),
              1,0),0)</f>
        <v>0</v>
      </c>
      <c r="AW54" s="136">
        <f>IF(VLOOKUP(AW$2,'TIS Site Config'!$A$4:$AQ$51,3,FALSE)&lt;&gt;"Soft",
          IF(
   AND(OR(VLOOKUP(AW$2,'TIS Site Config'!$A$3:$AQ$51,14,FALSE)="Heavy",
                      VLOOKUP(AW$2,'TIS Site Config'!$A$3:$AQ$51,14,FALSE)="Extreme"),
              VLOOKUP(AW$2,'TIS Site Config'!$A$3:$AQ$51,1,FALSE)&lt;&gt;"WREF"),
              1,0),0)</f>
        <v>0</v>
      </c>
      <c r="AX54" s="222">
        <f>IF(VLOOKUP(AX$2,'TIS Site Config'!$A$4:$AQ$51,3,FALSE)&lt;&gt;"Soft",
          IF(
   AND(OR(VLOOKUP(AX$2,'TIS Site Config'!$A$3:$AQ$51,14,FALSE)="Heavy",
                      VLOOKUP(AX$2,'TIS Site Config'!$A$3:$AQ$51,14,FALSE)="Extreme"),
              VLOOKUP(AX$2,'TIS Site Config'!$A$3:$AQ$51,1,FALSE)&lt;&gt;"WREF"),
              1,0),0)</f>
        <v>1</v>
      </c>
      <c r="AY54" s="136">
        <f>IF(VLOOKUP(AY$2,'TIS Site Config'!$A$4:$AQ$51,3,FALSE)&lt;&gt;"Soft",
          IF(
   AND(OR(VLOOKUP(AY$2,'TIS Site Config'!$A$3:$AQ$51,14,FALSE)="Heavy",
                      VLOOKUP(AY$2,'TIS Site Config'!$A$3:$AQ$51,14,FALSE)="Extreme"),
              VLOOKUP(AY$2,'TIS Site Config'!$A$3:$AQ$51,1,FALSE)&lt;&gt;"WREF"),
              1,0),0)</f>
        <v>0</v>
      </c>
      <c r="AZ54" s="21">
        <f>IF(VLOOKUP(AZ$2,'TIS Site Config'!$A$4:$AQ$51,3,FALSE)&lt;&gt;"Soft",
          IF(
   AND(OR(VLOOKUP(AZ$2,'TIS Site Config'!$A$3:$AQ$51,14,FALSE)="Heavy",
                      VLOOKUP(AZ$2,'TIS Site Config'!$A$3:$AQ$51,14,FALSE)="Extreme"),
              VLOOKUP(AZ$2,'TIS Site Config'!$A$3:$AQ$51,1,FALSE)&lt;&gt;"WREF"),
              1,0),0)</f>
        <v>0</v>
      </c>
      <c r="BA54" s="223">
        <f>IF(VLOOKUP(BA$2,'TIS Site Config'!$A$4:$AQ$51,3,FALSE)&lt;&gt;"Soft",
          IF(
   AND(OR(VLOOKUP(BA$2,'TIS Site Config'!$A$3:$AQ$51,14,FALSE)="Heavy",
                      VLOOKUP(BA$2,'TIS Site Config'!$A$3:$AQ$51,14,FALSE)="Extreme"),
              VLOOKUP(BA$2,'TIS Site Config'!$A$3:$AQ$51,1,FALSE)&lt;&gt;"WREF"),
              1,0),0)</f>
        <v>1</v>
      </c>
      <c r="BB54" s="136">
        <f>IF(VLOOKUP(BB$2,'TIS Site Config'!$A$4:$AQ$51,3,FALSE)&lt;&gt;"Soft",
          IF(
   AND(OR(VLOOKUP(BB$2,'TIS Site Config'!$A$3:$AQ$51,14,FALSE)="Heavy",
                      VLOOKUP(BB$2,'TIS Site Config'!$A$3:$AQ$51,14,FALSE)="Extreme"),
              VLOOKUP(BB$2,'TIS Site Config'!$A$3:$AQ$51,1,FALSE)&lt;&gt;"WREF"),
              1,0),0)</f>
        <v>0</v>
      </c>
      <c r="BC54" s="222">
        <f>IF(VLOOKUP(BC$2,'TIS Site Config'!$A$4:$AQ$51,3,FALSE)&lt;&gt;"Soft",
          IF(
   AND(OR(VLOOKUP(BC$2,'TIS Site Config'!$A$3:$AQ$51,14,FALSE)="Heavy",
                      VLOOKUP(BC$2,'TIS Site Config'!$A$3:$AQ$51,14,FALSE)="Extreme"),
              VLOOKUP(BC$2,'TIS Site Config'!$A$3:$AQ$51,1,FALSE)&lt;&gt;"WREF"),
              1,0),0)</f>
        <v>0</v>
      </c>
      <c r="BD54" s="136">
        <f>IF(VLOOKUP(BD$2,'TIS Site Config'!$A$4:$AQ$51,3,FALSE)&lt;&gt;"Soft",
          IF(
   AND(OR(VLOOKUP(BD$2,'TIS Site Config'!$A$3:$AQ$51,14,FALSE)="Heavy",
                      VLOOKUP(BD$2,'TIS Site Config'!$A$3:$AQ$51,14,FALSE)="Extreme"),
              VLOOKUP(BD$2,'TIS Site Config'!$A$3:$AQ$51,1,FALSE)&lt;&gt;"WREF"),
              1,0),0)</f>
        <v>0</v>
      </c>
      <c r="BE54" s="21">
        <f>IF(VLOOKUP(BE$2,'TIS Site Config'!$A$4:$AQ$51,3,FALSE)&lt;&gt;"Soft",
          IF(
   AND(OR(VLOOKUP(BE$2,'TIS Site Config'!$A$3:$AQ$51,14,FALSE)="Heavy",
                      VLOOKUP(BE$2,'TIS Site Config'!$A$3:$AQ$51,14,FALSE)="Extreme"),
              VLOOKUP(BE$2,'TIS Site Config'!$A$3:$AQ$51,1,FALSE)&lt;&gt;"WREF"),
              1,0),0)</f>
        <v>0</v>
      </c>
      <c r="BF54" s="222">
        <f>IF(VLOOKUP(BF$2,'TIS Site Config'!$A$4:$AQ$51,3,FALSE)&lt;&gt;"Soft",
          IF(
   AND(OR(VLOOKUP(BF$2,'TIS Site Config'!$A$3:$AQ$51,14,FALSE)="Heavy",
                      VLOOKUP(BF$2,'TIS Site Config'!$A$3:$AQ$51,14,FALSE)="Extreme"),
              VLOOKUP(BF$2,'TIS Site Config'!$A$3:$AQ$51,1,FALSE)&lt;&gt;"WREF"),
              1,0),0)</f>
        <v>0</v>
      </c>
      <c r="BG54" s="62">
        <f>IF(VLOOKUP(BG$2,'TIS Site Config'!$A$4:$AQ$51,3,FALSE)&lt;&gt;"Soft",
          IF(
   AND(OR(VLOOKUP(BG$2,'TIS Site Config'!$A$3:$AQ$51,14,FALSE)="Heavy",
                      VLOOKUP(BG$2,'TIS Site Config'!$A$3:$AQ$51,14,FALSE)="Extreme"),
              VLOOKUP(BG$2,'TIS Site Config'!$A$3:$AQ$51,1,FALSE)&lt;&gt;"WREF"),
              1,0),0)</f>
        <v>0</v>
      </c>
      <c r="BH54" s="62">
        <f>IF(VLOOKUP(BH$2,'TIS Site Config'!$A$4:$AQ$51,3,FALSE)&lt;&gt;"Soft",
          IF(
   AND(OR(VLOOKUP(BH$2,'TIS Site Config'!$A$3:$AQ$51,14,FALSE)="Heavy",
                      VLOOKUP(BH$2,'TIS Site Config'!$A$3:$AQ$51,14,FALSE)="Extreme"),
              VLOOKUP(BH$2,'TIS Site Config'!$A$3:$AQ$51,1,FALSE)&lt;&gt;"WREF"),
              1,0),0)</f>
        <v>0</v>
      </c>
      <c r="BK54" s="3">
        <v>11</v>
      </c>
      <c r="BL54" s="950" t="b">
        <f t="shared" si="4"/>
        <v>0</v>
      </c>
      <c r="BO54" s="950"/>
    </row>
    <row r="55" spans="1:67" s="44" customFormat="1" ht="15.75" thickBot="1" x14ac:dyDescent="0.3">
      <c r="A55" s="1366"/>
      <c r="B55" s="1334"/>
      <c r="C55" s="70" t="s">
        <v>574</v>
      </c>
      <c r="D55" s="94">
        <v>4</v>
      </c>
      <c r="E55" s="110" t="s">
        <v>576</v>
      </c>
      <c r="F55" s="58">
        <f t="shared" si="1"/>
        <v>1</v>
      </c>
      <c r="G55" s="453"/>
      <c r="H55" s="454"/>
      <c r="I55" s="486">
        <v>1</v>
      </c>
      <c r="J55" s="454"/>
      <c r="K55" s="455"/>
      <c r="L55" s="492"/>
      <c r="M55" s="138">
        <f>IF( VLOOKUP(M$2,'TIS Site Config'!$A$3:$AQ$51,1,FALSE)="WREF",
          1,0)</f>
        <v>0</v>
      </c>
      <c r="N55" s="233">
        <f>IF( VLOOKUP(N$2,'TIS Site Config'!$A$3:$AQ$51,1,FALSE)="WREF",
          1,0)</f>
        <v>0</v>
      </c>
      <c r="O55" s="238">
        <f>IF( VLOOKUP(O$2,'TIS Site Config'!$A$3:$AQ$51,1,FALSE)="WREF",
          1,0)</f>
        <v>0</v>
      </c>
      <c r="P55" s="232">
        <f>IF( VLOOKUP(P$2,'TIS Site Config'!$A$3:$AQ$51,1,FALSE)="WREF",
          1,0)</f>
        <v>0</v>
      </c>
      <c r="Q55" s="233">
        <f>IF( VLOOKUP(Q$2,'TIS Site Config'!$A$3:$AQ$51,1,FALSE)="WREF",
          1,0)</f>
        <v>0</v>
      </c>
      <c r="R55" s="138">
        <f>IF( VLOOKUP(R$2,'TIS Site Config'!$A$3:$AQ$51,1,FALSE)="WREF",
          1,0)</f>
        <v>0</v>
      </c>
      <c r="S55" s="232">
        <f>IF( VLOOKUP(S$2,'TIS Site Config'!$A$3:$AQ$51,1,FALSE)="WREF",
          1,0)</f>
        <v>0</v>
      </c>
      <c r="T55" s="233">
        <f>IF( VLOOKUP(T$2,'TIS Site Config'!$A$3:$AQ$51,1,FALSE)="WREF",
          1,0)</f>
        <v>0</v>
      </c>
      <c r="U55" s="138">
        <f>IF( VLOOKUP(U$2,'TIS Site Config'!$A$3:$AQ$51,1,FALSE)="WREF",
          1,0)</f>
        <v>0</v>
      </c>
      <c r="V55" s="233">
        <f>IF( VLOOKUP(V$2,'TIS Site Config'!$A$3:$AQ$51,1,FALSE)="WREF",
          1,0)</f>
        <v>0</v>
      </c>
      <c r="W55" s="237">
        <f>IF( VLOOKUP(W$2,'TIS Site Config'!$A$3:$AQ$51,1,FALSE)="WREF",
          1,0)</f>
        <v>0</v>
      </c>
      <c r="X55" s="232">
        <f>IF( VLOOKUP(X$2,'TIS Site Config'!$A$3:$AQ$51,1,FALSE)="WREF",
          1,0)</f>
        <v>0</v>
      </c>
      <c r="Y55" s="233">
        <f>IF( VLOOKUP(Y$2,'TIS Site Config'!$A$3:$AQ$51,1,FALSE)="WREF",
          1,0)</f>
        <v>0</v>
      </c>
      <c r="Z55" s="138">
        <f>IF( VLOOKUP(Z$2,'TIS Site Config'!$A$3:$AQ$51,1,FALSE)="WREF",
          1,0)</f>
        <v>0</v>
      </c>
      <c r="AA55" s="232">
        <f>IF( VLOOKUP(AA$2,'TIS Site Config'!$A$3:$AQ$51,1,FALSE)="WREF",
          1,0)</f>
        <v>0</v>
      </c>
      <c r="AB55" s="233">
        <f>IF( VLOOKUP(AB$2,'TIS Site Config'!$A$3:$AQ$51,1,FALSE)="WREF",
          1,0)</f>
        <v>0</v>
      </c>
      <c r="AC55" s="232">
        <f>IF( VLOOKUP(AC$2,'TIS Site Config'!$A$3:$AQ$51,1,FALSE)="WREF",
          1,0)</f>
        <v>0</v>
      </c>
      <c r="AD55" s="234">
        <f>IF( VLOOKUP(AD$2,'TIS Site Config'!$A$3:$AQ$51,1,FALSE)="WREF",
          1,0)</f>
        <v>0</v>
      </c>
      <c r="AE55" s="234">
        <f>IF( VLOOKUP(AE$2,'TIS Site Config'!$A$3:$AQ$51,1,FALSE)="WREF",
          1,0)</f>
        <v>0</v>
      </c>
      <c r="AF55" s="235">
        <f>IF( VLOOKUP(AF$2,'TIS Site Config'!$A$3:$AQ$51,1,FALSE)="WREF",
          1,0)</f>
        <v>0</v>
      </c>
      <c r="AG55" s="232">
        <f>IF( VLOOKUP(AG$2,'TIS Site Config'!$A$3:$AQ$51,1,FALSE)="WREF",
          1,0)</f>
        <v>0</v>
      </c>
      <c r="AH55" s="233">
        <f>IF( VLOOKUP(AH$2,'TIS Site Config'!$A$3:$AQ$51,1,FALSE)="WREF",
          1,0)</f>
        <v>0</v>
      </c>
      <c r="AI55" s="138">
        <f>IF( VLOOKUP(AI$2,'TIS Site Config'!$A$3:$AQ$51,1,FALSE)="WREF",
          1,0)</f>
        <v>0</v>
      </c>
      <c r="AJ55" s="232">
        <f>IF( VLOOKUP(AJ$2,'TIS Site Config'!$A$3:$AQ$51,1,FALSE)="WREF",
          1,0)</f>
        <v>0</v>
      </c>
      <c r="AK55" s="233">
        <f>IF( VLOOKUP(AK$2,'TIS Site Config'!$A$3:$AQ$51,1,FALSE)="WREF",
          1,0)</f>
        <v>0</v>
      </c>
      <c r="AL55" s="138">
        <f>IF( VLOOKUP(AL$2,'TIS Site Config'!$A$3:$AQ$51,1,FALSE)="WREF",
          1,0)</f>
        <v>0</v>
      </c>
      <c r="AM55" s="232">
        <f>IF( VLOOKUP(AM$2,'TIS Site Config'!$A$3:$AQ$51,1,FALSE)="WREF",
          1,0)</f>
        <v>0</v>
      </c>
      <c r="AN55" s="233">
        <f>IF( VLOOKUP(AN$2,'TIS Site Config'!$A$3:$AQ$51,1,FALSE)="WREF",
          1,0)</f>
        <v>0</v>
      </c>
      <c r="AO55" s="138">
        <f>IF( VLOOKUP(AO$2,'TIS Site Config'!$A$3:$AQ$51,1,FALSE)="WREF",
          1,0)</f>
        <v>0</v>
      </c>
      <c r="AP55" s="232">
        <f>IF( VLOOKUP(AP$2,'TIS Site Config'!$A$3:$AQ$51,1,FALSE)="WREF",
          1,0)</f>
        <v>0</v>
      </c>
      <c r="AQ55" s="138">
        <f>IF( VLOOKUP(AQ$2,'TIS Site Config'!$A$3:$AQ$51,1,FALSE)="WREF",
          1,0)</f>
        <v>0</v>
      </c>
      <c r="AR55" s="138">
        <f>IF( VLOOKUP(AR$2,'TIS Site Config'!$A$3:$AQ$51,1,FALSE)="WREF",
          1,0)</f>
        <v>0</v>
      </c>
      <c r="AS55" s="232">
        <f>IF( VLOOKUP(AS$2,'TIS Site Config'!$A$3:$AQ$51,1,FALSE)="WREF",
          1,0)</f>
        <v>0</v>
      </c>
      <c r="AT55" s="138">
        <f>IF( VLOOKUP(AT$2,'TIS Site Config'!$A$3:$AQ$51,1,FALSE)="WREF",
          1,0)</f>
        <v>0</v>
      </c>
      <c r="AU55" s="232">
        <f>IF( VLOOKUP(AU$2,'TIS Site Config'!$A$3:$AQ$51,1,FALSE)="WREF",
          1,0)</f>
        <v>0</v>
      </c>
      <c r="AV55" s="138">
        <f>IF( VLOOKUP(AV$2,'TIS Site Config'!$A$3:$AQ$51,1,FALSE)="WREF",
          1,0)</f>
        <v>0</v>
      </c>
      <c r="AW55" s="133">
        <f>IF( VLOOKUP(AW$2,'TIS Site Config'!$A$3:$AQ$51,1,FALSE)="WREF",
          1,0)</f>
        <v>1</v>
      </c>
      <c r="AX55" s="233">
        <f>IF( VLOOKUP(AX$2,'TIS Site Config'!$A$3:$AQ$51,1,FALSE)="WREF",
          1,0)</f>
        <v>0</v>
      </c>
      <c r="AY55" s="138">
        <f>IF( VLOOKUP(AY$2,'TIS Site Config'!$A$3:$AQ$51,1,FALSE)="WREF",
          1,0)</f>
        <v>0</v>
      </c>
      <c r="AZ55" s="232">
        <f>IF( VLOOKUP(AZ$2,'TIS Site Config'!$A$3:$AQ$51,1,FALSE)="WREF",
          1,0)</f>
        <v>0</v>
      </c>
      <c r="BA55" s="234">
        <f>IF( VLOOKUP(BA$2,'TIS Site Config'!$A$3:$AQ$51,1,FALSE)="WREF",
          1,0)</f>
        <v>0</v>
      </c>
      <c r="BB55" s="138">
        <f>IF( VLOOKUP(BB$2,'TIS Site Config'!$A$3:$AQ$51,1,FALSE)="WREF",
          1,0)</f>
        <v>0</v>
      </c>
      <c r="BC55" s="233">
        <f>IF( VLOOKUP(BC$2,'TIS Site Config'!$A$3:$AQ$51,1,FALSE)="WREF",
          1,0)</f>
        <v>0</v>
      </c>
      <c r="BD55" s="138">
        <f>IF( VLOOKUP(BD$2,'TIS Site Config'!$A$3:$AQ$51,1,FALSE)="WREF",
          1,0)</f>
        <v>0</v>
      </c>
      <c r="BE55" s="232">
        <f>IF( VLOOKUP(BE$2,'TIS Site Config'!$A$3:$AQ$51,1,FALSE)="WREF",
          1,0)</f>
        <v>0</v>
      </c>
      <c r="BF55" s="233">
        <f>IF( VLOOKUP(BF$2,'TIS Site Config'!$A$3:$AQ$51,1,FALSE)="WREF",
          1,0)</f>
        <v>0</v>
      </c>
      <c r="BG55" s="236">
        <f>IF( VLOOKUP(BG$2,'TIS Site Config'!$A$3:$AQ$51,1,FALSE)="WREF",
          1,0)</f>
        <v>0</v>
      </c>
      <c r="BH55" s="236">
        <f>IF( VLOOKUP(BH$2,'TIS Site Config'!$A$3:$AQ$51,1,FALSE)="WREF",
          1,0)</f>
        <v>0</v>
      </c>
      <c r="BK55" s="44">
        <v>1</v>
      </c>
      <c r="BL55" s="950" t="b">
        <f t="shared" si="4"/>
        <v>1</v>
      </c>
      <c r="BO55" s="950"/>
    </row>
    <row r="56" spans="1:67" ht="15.75" thickTop="1" x14ac:dyDescent="0.25">
      <c r="A56" s="1366"/>
      <c r="B56" s="1342" t="s">
        <v>3</v>
      </c>
      <c r="C56" s="57" t="s">
        <v>152</v>
      </c>
      <c r="D56" s="90">
        <v>1</v>
      </c>
      <c r="E56" s="84" t="s">
        <v>292</v>
      </c>
      <c r="F56" s="60">
        <f t="shared" si="1"/>
        <v>46</v>
      </c>
      <c r="G56" s="459"/>
      <c r="H56" s="460"/>
      <c r="I56" s="460">
        <v>1</v>
      </c>
      <c r="J56" s="460"/>
      <c r="K56" s="461"/>
      <c r="L56" s="494"/>
      <c r="M56" s="134">
        <f>IF(VLOOKUP(M$2,'TIS Site Config'!$A$4:$AQ$51,3,FALSE)&lt;&gt;"Soft",
          IF(VLOOKUP(M$2,'TIS Site Config'!$A$3:$AQ$51,18,FALSE)="Split",
            (VLOOKUP(M$2,'TIS Site Config'!$A$3:$AQ$51,17,FALSE)-3),0),0)</f>
        <v>3</v>
      </c>
      <c r="N56" s="212">
        <f>IF(VLOOKUP(N$2,'TIS Site Config'!$A$4:$AQ$51,3,FALSE)&lt;&gt;"Soft",
          IF(VLOOKUP(N$2,'TIS Site Config'!$A$3:$AQ$51,18,FALSE)="Split",
            (VLOOKUP(N$2,'TIS Site Config'!$A$3:$AQ$51,17,FALSE)-3),0),0)</f>
        <v>0</v>
      </c>
      <c r="O56" s="215">
        <f>IF(VLOOKUP(O$2,'TIS Site Config'!$A$4:$AQ$51,3,FALSE)&lt;&gt;"Soft",
          IF(VLOOKUP(O$2,'TIS Site Config'!$A$3:$AQ$51,18,FALSE)="Split",
            (VLOOKUP(O$2,'TIS Site Config'!$A$3:$AQ$51,17,FALSE)-3),0),0)</f>
        <v>3</v>
      </c>
      <c r="P56" s="309">
        <f>IF(VLOOKUP(P$2,'TIS Site Config'!$A$4:$AQ$51,3,FALSE)&lt;&gt;"Soft",
          IF(VLOOKUP(P$2,'TIS Site Config'!$A$3:$AQ$51,18,FALSE)="Split",
            (VLOOKUP(P$2,'TIS Site Config'!$A$3:$AQ$51,17,FALSE)-3),0),0)</f>
        <v>0</v>
      </c>
      <c r="Q56" s="212">
        <f>IF(VLOOKUP(Q$2,'TIS Site Config'!$A$4:$AQ$51,3,FALSE)&lt;&gt;"Soft",
          IF(VLOOKUP(Q$2,'TIS Site Config'!$A$3:$AQ$51,18,FALSE)="Split",
            (VLOOKUP(Q$2,'TIS Site Config'!$A$3:$AQ$51,17,FALSE)-3),0),0)</f>
        <v>0</v>
      </c>
      <c r="R56" s="134">
        <f>IF(VLOOKUP(R$2,'TIS Site Config'!$A$4:$AQ$51,3,FALSE)&lt;&gt;"Soft",
          IF(VLOOKUP(R$2,'TIS Site Config'!$A$3:$AQ$51,18,FALSE)="Split",
            (VLOOKUP(R$2,'TIS Site Config'!$A$3:$AQ$51,17,FALSE)-3),0),0)</f>
        <v>0</v>
      </c>
      <c r="S56" s="309">
        <f>IF(VLOOKUP(S$2,'TIS Site Config'!$A$4:$AQ$51,3,FALSE)&lt;&gt;"Soft",
          IF(VLOOKUP(S$2,'TIS Site Config'!$A$3:$AQ$51,18,FALSE)="Split",
            (VLOOKUP(S$2,'TIS Site Config'!$A$3:$AQ$51,17,FALSE)-3),0),0)</f>
        <v>1</v>
      </c>
      <c r="T56" s="212">
        <f>IF(VLOOKUP(T$2,'TIS Site Config'!$A$4:$AQ$51,3,FALSE)&lt;&gt;"Soft",
          IF(VLOOKUP(T$2,'TIS Site Config'!$A$3:$AQ$51,18,FALSE)="Split",
            (VLOOKUP(T$2,'TIS Site Config'!$A$3:$AQ$51,17,FALSE)-3),0),0)</f>
        <v>3</v>
      </c>
      <c r="U56" s="134">
        <f>IF(VLOOKUP(U$2,'TIS Site Config'!$A$4:$AQ$51,3,FALSE)&lt;&gt;"Soft",
          IF(VLOOKUP(U$2,'TIS Site Config'!$A$3:$AQ$51,18,FALSE)="Split",
            (VLOOKUP(U$2,'TIS Site Config'!$A$3:$AQ$51,17,FALSE)-3),0),0)</f>
        <v>2</v>
      </c>
      <c r="V56" s="212">
        <f>IF(VLOOKUP(V$2,'TIS Site Config'!$A$4:$AQ$51,3,FALSE)&lt;&gt;"Soft",
          IF(VLOOKUP(V$2,'TIS Site Config'!$A$3:$AQ$51,18,FALSE)="Split",
            (VLOOKUP(V$2,'TIS Site Config'!$A$3:$AQ$51,17,FALSE)-3),0),0)</f>
        <v>1</v>
      </c>
      <c r="W56" s="214">
        <f>IF(VLOOKUP(W$2,'TIS Site Config'!$A$4:$AQ$51,3,FALSE)&lt;&gt;"Soft",
          IF(VLOOKUP(W$2,'TIS Site Config'!$A$3:$AQ$51,18,FALSE)="Split",
            (VLOOKUP(W$2,'TIS Site Config'!$A$3:$AQ$51,17,FALSE)-3),0),0)</f>
        <v>0</v>
      </c>
      <c r="X56" s="309">
        <f>IF(VLOOKUP(X$2,'TIS Site Config'!$A$4:$AQ$51,3,FALSE)&lt;&gt;"Soft",
          IF(VLOOKUP(X$2,'TIS Site Config'!$A$3:$AQ$51,18,FALSE)="Split",
            (VLOOKUP(X$2,'TIS Site Config'!$A$3:$AQ$51,17,FALSE)-3),0),0)</f>
        <v>0</v>
      </c>
      <c r="Y56" s="212">
        <f>IF(VLOOKUP(Y$2,'TIS Site Config'!$A$4:$AQ$51,3,FALSE)&lt;&gt;"Soft",
          IF(VLOOKUP(Y$2,'TIS Site Config'!$A$3:$AQ$51,18,FALSE)="Split",
            (VLOOKUP(Y$2,'TIS Site Config'!$A$3:$AQ$51,17,FALSE)-3),0),0)</f>
        <v>0</v>
      </c>
      <c r="Z56" s="134">
        <f>IF(VLOOKUP(Z$2,'TIS Site Config'!$A$4:$AQ$51,3,FALSE)&lt;&gt;"Soft",
          IF(VLOOKUP(Z$2,'TIS Site Config'!$A$3:$AQ$51,18,FALSE)="Split",
            (VLOOKUP(Z$2,'TIS Site Config'!$A$3:$AQ$51,17,FALSE)-3),0),0)</f>
        <v>1</v>
      </c>
      <c r="AA56" s="309">
        <f>IF(VLOOKUP(AA$2,'TIS Site Config'!$A$4:$AQ$51,3,FALSE)&lt;&gt;"Soft",
          IF(VLOOKUP(AA$2,'TIS Site Config'!$A$3:$AQ$51,18,FALSE)="Split",
            (VLOOKUP(AA$2,'TIS Site Config'!$A$3:$AQ$51,17,FALSE)-3),0),0)</f>
        <v>0</v>
      </c>
      <c r="AB56" s="212">
        <f>IF(VLOOKUP(AB$2,'TIS Site Config'!$A$4:$AQ$51,3,FALSE)&lt;&gt;"Soft",
          IF(VLOOKUP(AB$2,'TIS Site Config'!$A$3:$AQ$51,18,FALSE)="Split",
            (VLOOKUP(AB$2,'TIS Site Config'!$A$3:$AQ$51,17,FALSE)-3),0),0)</f>
        <v>1</v>
      </c>
      <c r="AC56" s="309">
        <f>IF(VLOOKUP(AC$2,'TIS Site Config'!$A$4:$AQ$51,3,FALSE)&lt;&gt;"Soft",
          IF(VLOOKUP(AC$2,'TIS Site Config'!$A$3:$AQ$51,18,FALSE)="Split",
            (VLOOKUP(AC$2,'TIS Site Config'!$A$3:$AQ$51,17,FALSE)-3),0),0)</f>
        <v>0</v>
      </c>
      <c r="AD56" s="213">
        <f>IF(VLOOKUP(AD$2,'TIS Site Config'!$A$4:$AQ$51,3,FALSE)&lt;&gt;"Soft",
          IF(VLOOKUP(AD$2,'TIS Site Config'!$A$3:$AQ$51,18,FALSE)="Split",
            (VLOOKUP(AD$2,'TIS Site Config'!$A$3:$AQ$51,17,FALSE)-3),0),0)</f>
        <v>3</v>
      </c>
      <c r="AE56" s="213">
        <f>IF(VLOOKUP(AE$2,'TIS Site Config'!$A$4:$AQ$51,3,FALSE)&lt;&gt;"Soft",
          IF(VLOOKUP(AE$2,'TIS Site Config'!$A$3:$AQ$51,18,FALSE)="Split",
            (VLOOKUP(AE$2,'TIS Site Config'!$A$3:$AQ$51,17,FALSE)-3),0),0)</f>
        <v>3</v>
      </c>
      <c r="AF56" s="39">
        <f>IF(VLOOKUP(AF$2,'TIS Site Config'!$A$4:$AQ$51,3,FALSE)&lt;&gt;"Soft",
          IF(VLOOKUP(AF$2,'TIS Site Config'!$A$3:$AQ$51,18,FALSE)="Split",
            (VLOOKUP(AF$2,'TIS Site Config'!$A$3:$AQ$51,17,FALSE)-3),0),0)</f>
        <v>2</v>
      </c>
      <c r="AG56" s="309">
        <f>IF(VLOOKUP(AG$2,'TIS Site Config'!$A$4:$AQ$51,3,FALSE)&lt;&gt;"Soft",
          IF(VLOOKUP(AG$2,'TIS Site Config'!$A$3:$AQ$51,18,FALSE)="Split",
            (VLOOKUP(AG$2,'TIS Site Config'!$A$3:$AQ$51,17,FALSE)-3),0),0)</f>
        <v>0</v>
      </c>
      <c r="AH56" s="212">
        <f>IF(VLOOKUP(AH$2,'TIS Site Config'!$A$4:$AQ$51,3,FALSE)&lt;&gt;"Soft",
          IF(VLOOKUP(AH$2,'TIS Site Config'!$A$3:$AQ$51,18,FALSE)="Split",
            (VLOOKUP(AH$2,'TIS Site Config'!$A$3:$AQ$51,17,FALSE)-3),0),0)</f>
        <v>3</v>
      </c>
      <c r="AI56" s="134">
        <f>IF(VLOOKUP(AI$2,'TIS Site Config'!$A$4:$AQ$51,3,FALSE)&lt;&gt;"Soft",
          IF(VLOOKUP(AI$2,'TIS Site Config'!$A$3:$AQ$51,18,FALSE)="Split",
            (VLOOKUP(AI$2,'TIS Site Config'!$A$3:$AQ$51,17,FALSE)-3),0),0)</f>
        <v>1</v>
      </c>
      <c r="AJ56" s="309">
        <f>IF(VLOOKUP(AJ$2,'TIS Site Config'!$A$4:$AQ$51,3,FALSE)&lt;&gt;"Soft",
          IF(VLOOKUP(AJ$2,'TIS Site Config'!$A$3:$AQ$51,18,FALSE)="Split",
            (VLOOKUP(AJ$2,'TIS Site Config'!$A$3:$AQ$51,17,FALSE)-3),0),0)</f>
        <v>1</v>
      </c>
      <c r="AK56" s="212">
        <f>IF(VLOOKUP(AK$2,'TIS Site Config'!$A$4:$AQ$51,3,FALSE)&lt;&gt;"Soft",
          IF(VLOOKUP(AK$2,'TIS Site Config'!$A$3:$AQ$51,18,FALSE)="Split",
            (VLOOKUP(AK$2,'TIS Site Config'!$A$3:$AQ$51,17,FALSE)-3),0),0)</f>
        <v>0</v>
      </c>
      <c r="AL56" s="1012">
        <f>IF(VLOOKUP(AL$2,'TIS Site Config'!$A$4:$AQ$51,3,FALSE)&lt;&gt;"Soft",
          IF(VLOOKUP(AL$2,'TIS Site Config'!$A$3:$AQ$51,18,FALSE)="Split",
            (VLOOKUP(AL$2,'TIS Site Config'!$A$3:$AQ$51,17,FALSE)-3),0),0)</f>
        <v>1</v>
      </c>
      <c r="AM56" s="309">
        <f>IF(VLOOKUP(AM$2,'TIS Site Config'!$A$4:$AQ$51,3,FALSE)&lt;&gt;"Soft",
          IF(VLOOKUP(AM$2,'TIS Site Config'!$A$3:$AQ$51,18,FALSE)="Split",
            (VLOOKUP(AM$2,'TIS Site Config'!$A$3:$AQ$51,17,FALSE)-3),0),0)</f>
        <v>1</v>
      </c>
      <c r="AN56" s="212">
        <f>IF(VLOOKUP(AN$2,'TIS Site Config'!$A$4:$AQ$51,3,FALSE)&lt;&gt;"Soft",
          IF(VLOOKUP(AN$2,'TIS Site Config'!$A$3:$AQ$51,18,FALSE)="Split",
            (VLOOKUP(AN$2,'TIS Site Config'!$A$3:$AQ$51,17,FALSE)-3),0),0)</f>
        <v>0</v>
      </c>
      <c r="AO56" s="134">
        <f>IF(VLOOKUP(AO$2,'TIS Site Config'!$A$4:$AQ$51,3,FALSE)&lt;&gt;"Soft",
          IF(VLOOKUP(AO$2,'TIS Site Config'!$A$3:$AQ$51,18,FALSE)="Split",
            (VLOOKUP(AO$2,'TIS Site Config'!$A$3:$AQ$51,17,FALSE)-3),0),0)</f>
        <v>2</v>
      </c>
      <c r="AP56" s="309">
        <f>IF(VLOOKUP(AP$2,'TIS Site Config'!$A$4:$AQ$51,3,FALSE)&lt;&gt;"Soft",
          IF(VLOOKUP(AP$2,'TIS Site Config'!$A$3:$AQ$51,18,FALSE)="Split",
            (VLOOKUP(AP$2,'TIS Site Config'!$A$3:$AQ$51,17,FALSE)-3),0),0)</f>
        <v>1</v>
      </c>
      <c r="AQ56" s="134">
        <f>IF(VLOOKUP(AQ$2,'TIS Site Config'!$A$4:$AQ$51,3,FALSE)&lt;&gt;"Soft",
          IF(VLOOKUP(AQ$2,'TIS Site Config'!$A$3:$AQ$51,18,FALSE)="Split",
            (VLOOKUP(AQ$2,'TIS Site Config'!$A$3:$AQ$51,17,FALSE)-3),0),0)</f>
        <v>0</v>
      </c>
      <c r="AR56" s="134">
        <f>IF(VLOOKUP(AR$2,'TIS Site Config'!$A$4:$AQ$51,3,FALSE)&lt;&gt;"Soft",
          IF(VLOOKUP(AR$2,'TIS Site Config'!$A$3:$AQ$51,18,FALSE)="Split",
            (VLOOKUP(AR$2,'TIS Site Config'!$A$3:$AQ$51,17,FALSE)-3),0),0)</f>
        <v>1</v>
      </c>
      <c r="AS56" s="309">
        <f>IF(VLOOKUP(AS$2,'TIS Site Config'!$A$4:$AQ$51,3,FALSE)&lt;&gt;"Soft",
          IF(VLOOKUP(AS$2,'TIS Site Config'!$A$3:$AQ$51,18,FALSE)="Split",
            (VLOOKUP(AS$2,'TIS Site Config'!$A$3:$AQ$51,17,FALSE)-3),0),0)</f>
        <v>0</v>
      </c>
      <c r="AT56" s="134">
        <f>IF(VLOOKUP(AT$2,'TIS Site Config'!$A$4:$AQ$51,3,FALSE)&lt;&gt;"Soft",
          IF(VLOOKUP(AT$2,'TIS Site Config'!$A$3:$AQ$51,18,FALSE)="Split",
            (VLOOKUP(AT$2,'TIS Site Config'!$A$3:$AQ$51,17,FALSE)-3),0),0)</f>
        <v>0</v>
      </c>
      <c r="AU56" s="309">
        <f>IF(VLOOKUP(AU$2,'TIS Site Config'!$A$4:$AQ$51,3,FALSE)&lt;&gt;"Soft",
          IF(VLOOKUP(AU$2,'TIS Site Config'!$A$3:$AQ$51,18,FALSE)="Split",
            (VLOOKUP(AU$2,'TIS Site Config'!$A$3:$AQ$51,17,FALSE)-3),0),0)</f>
        <v>0</v>
      </c>
      <c r="AV56" s="134">
        <f>IF(VLOOKUP(AV$2,'TIS Site Config'!$A$4:$AQ$51,3,FALSE)&lt;&gt;"Soft",
          IF(VLOOKUP(AV$2,'TIS Site Config'!$A$3:$AQ$51,18,FALSE)="Split",
            (VLOOKUP(AV$2,'TIS Site Config'!$A$3:$AQ$51,17,FALSE)-3),0),0)</f>
        <v>0</v>
      </c>
      <c r="AW56" s="134">
        <f>IF(VLOOKUP(AW$2,'TIS Site Config'!$A$4:$AQ$51,3,FALSE)&lt;&gt;"Soft",
          IF(VLOOKUP(AW$2,'TIS Site Config'!$A$3:$AQ$51,18,FALSE)="Split",
            (VLOOKUP(AW$2,'TIS Site Config'!$A$3:$AQ$51,17,FALSE)-3),0),0)</f>
        <v>5</v>
      </c>
      <c r="AX56" s="212">
        <f>IF(VLOOKUP(AX$2,'TIS Site Config'!$A$4:$AQ$51,3,FALSE)&lt;&gt;"Soft",
          IF(VLOOKUP(AX$2,'TIS Site Config'!$A$3:$AQ$51,18,FALSE)="Split",
            (VLOOKUP(AX$2,'TIS Site Config'!$A$3:$AQ$51,17,FALSE)-3),0),0)</f>
        <v>0</v>
      </c>
      <c r="AY56" s="134">
        <f>IF(VLOOKUP(AY$2,'TIS Site Config'!$A$4:$AQ$51,3,FALSE)&lt;&gt;"Soft",
          IF(VLOOKUP(AY$2,'TIS Site Config'!$A$3:$AQ$51,18,FALSE)="Split",
            (VLOOKUP(AY$2,'TIS Site Config'!$A$3:$AQ$51,17,FALSE)-3),0),0)</f>
        <v>3</v>
      </c>
      <c r="AZ56" s="309">
        <f>IF(VLOOKUP(AZ$2,'TIS Site Config'!$A$4:$AQ$51,3,FALSE)&lt;&gt;"Soft",
          IF(VLOOKUP(AZ$2,'TIS Site Config'!$A$3:$AQ$51,18,FALSE)="Split",
            (VLOOKUP(AZ$2,'TIS Site Config'!$A$3:$AQ$51,17,FALSE)-3),0),0)</f>
        <v>3</v>
      </c>
      <c r="BA56" s="213">
        <f>IF(VLOOKUP(BA$2,'TIS Site Config'!$A$4:$AQ$51,3,FALSE)&lt;&gt;"Soft",
          IF(VLOOKUP(BA$2,'TIS Site Config'!$A$3:$AQ$51,18,FALSE)="Split",
            (VLOOKUP(BA$2,'TIS Site Config'!$A$3:$AQ$51,17,FALSE)-3),0),0)</f>
        <v>0</v>
      </c>
      <c r="BB56" s="134">
        <f>IF(VLOOKUP(BB$2,'TIS Site Config'!$A$4:$AQ$51,3,FALSE)&lt;&gt;"Soft",
          IF(VLOOKUP(BB$2,'TIS Site Config'!$A$3:$AQ$51,18,FALSE)="Split",
            (VLOOKUP(BB$2,'TIS Site Config'!$A$3:$AQ$51,17,FALSE)-3),0),0)</f>
        <v>1</v>
      </c>
      <c r="BC56" s="212">
        <f>IF(VLOOKUP(BC$2,'TIS Site Config'!$A$4:$AQ$51,3,FALSE)&lt;&gt;"Soft",
          IF(VLOOKUP(BC$2,'TIS Site Config'!$A$3:$AQ$51,18,FALSE)="Split",
            (VLOOKUP(BC$2,'TIS Site Config'!$A$3:$AQ$51,17,FALSE)-3),0),0)</f>
        <v>0</v>
      </c>
      <c r="BD56" s="134">
        <f>IF(VLOOKUP(BD$2,'TIS Site Config'!$A$4:$AQ$51,3,FALSE)&lt;&gt;"Soft",
          IF(VLOOKUP(BD$2,'TIS Site Config'!$A$3:$AQ$51,18,FALSE)="Split",
            (VLOOKUP(BD$2,'TIS Site Config'!$A$3:$AQ$51,17,FALSE)-3),0),0)</f>
        <v>0</v>
      </c>
      <c r="BE56" s="309">
        <f>IF(VLOOKUP(BE$2,'TIS Site Config'!$A$4:$AQ$51,3,FALSE)&lt;&gt;"Soft",
          IF(VLOOKUP(BE$2,'TIS Site Config'!$A$3:$AQ$51,18,FALSE)="Split",
            (VLOOKUP(BE$2,'TIS Site Config'!$A$3:$AQ$51,17,FALSE)-3),0),0)</f>
        <v>0</v>
      </c>
      <c r="BF56" s="212">
        <f>IF(VLOOKUP(BF$2,'TIS Site Config'!$A$4:$AQ$51,3,FALSE)&lt;&gt;"Soft",
          IF(VLOOKUP(BF$2,'TIS Site Config'!$A$3:$AQ$51,18,FALSE)="Split",
            (VLOOKUP(BF$2,'TIS Site Config'!$A$3:$AQ$51,17,FALSE)-3),0),0)</f>
        <v>0</v>
      </c>
      <c r="BG56" s="60">
        <f>IF(VLOOKUP(BG$2,'TIS Site Config'!$A$4:$AQ$51,3,FALSE)&lt;&gt;"Soft",
          IF(VLOOKUP(BG$2,'TIS Site Config'!$A$3:$AQ$51,18,FALSE)="Split",
            (VLOOKUP(BG$2,'TIS Site Config'!$A$3:$AQ$51,17,FALSE)-3),0),0)</f>
        <v>0</v>
      </c>
      <c r="BH56" s="60">
        <f>IF(VLOOKUP(BH$2,'TIS Site Config'!$A$4:$AQ$51,3,FALSE)&lt;&gt;"Soft",
          IF(VLOOKUP(BH$2,'TIS Site Config'!$A$3:$AQ$51,18,FALSE)="Split",
            (VLOOKUP(BH$2,'TIS Site Config'!$A$3:$AQ$51,17,FALSE)-3),0),0)</f>
        <v>1</v>
      </c>
      <c r="BK56" s="3">
        <v>53</v>
      </c>
      <c r="BL56" s="950" t="b">
        <f t="shared" si="4"/>
        <v>0</v>
      </c>
      <c r="BO56" s="950"/>
    </row>
    <row r="57" spans="1:67" s="9" customFormat="1" x14ac:dyDescent="0.25">
      <c r="A57" s="1366"/>
      <c r="B57" s="1343"/>
      <c r="C57" s="57" t="s">
        <v>151</v>
      </c>
      <c r="D57" s="90">
        <v>1</v>
      </c>
      <c r="E57" s="85" t="s">
        <v>320</v>
      </c>
      <c r="F57" s="60">
        <f t="shared" si="1"/>
        <v>23</v>
      </c>
      <c r="G57" s="459"/>
      <c r="H57" s="460"/>
      <c r="I57" s="460">
        <v>1</v>
      </c>
      <c r="J57" s="460"/>
      <c r="K57" s="461"/>
      <c r="L57" s="494"/>
      <c r="M57" s="134">
        <f>IF(VLOOKUP(M$2,'TIS Site Config'!$A$4:$AQ$51,3,FALSE)&lt;&gt;"Soft",
          IF(VLOOKUP(M$2,'TIS Site Config'!$A$3:$AQ$51,18,FALSE)="Split",1,0),0)</f>
        <v>1</v>
      </c>
      <c r="N57" s="212">
        <f>IF(VLOOKUP(N$2,'TIS Site Config'!$A$4:$AQ$51,3,FALSE)&lt;&gt;"Soft",
          IF(VLOOKUP(N$2,'TIS Site Config'!$A$3:$AQ$51,18,FALSE)="Split",1,0),0)</f>
        <v>0</v>
      </c>
      <c r="O57" s="215">
        <f>IF(VLOOKUP(O$2,'TIS Site Config'!$A$4:$AQ$51,3,FALSE)&lt;&gt;"Soft",
          IF(VLOOKUP(O$2,'TIS Site Config'!$A$3:$AQ$51,18,FALSE)="Split",1,0),0)</f>
        <v>1</v>
      </c>
      <c r="P57" s="309">
        <f>IF(VLOOKUP(P$2,'TIS Site Config'!$A$4:$AQ$51,3,FALSE)&lt;&gt;"Soft",
          IF(VLOOKUP(P$2,'TIS Site Config'!$A$3:$AQ$51,18,FALSE)="Split",1,0),0)</f>
        <v>0</v>
      </c>
      <c r="Q57" s="212">
        <f>IF(VLOOKUP(Q$2,'TIS Site Config'!$A$4:$AQ$51,3,FALSE)&lt;&gt;"Soft",
          IF(VLOOKUP(Q$2,'TIS Site Config'!$A$3:$AQ$51,18,FALSE)="Split",1,0),0)</f>
        <v>0</v>
      </c>
      <c r="R57" s="134">
        <f>IF(VLOOKUP(R$2,'TIS Site Config'!$A$4:$AQ$51,3,FALSE)&lt;&gt;"Soft",
          IF(VLOOKUP(R$2,'TIS Site Config'!$A$3:$AQ$51,18,FALSE)="Split",1,0),0)</f>
        <v>0</v>
      </c>
      <c r="S57" s="309">
        <f>IF(VLOOKUP(S$2,'TIS Site Config'!$A$4:$AQ$51,3,FALSE)&lt;&gt;"Soft",
          IF(VLOOKUP(S$2,'TIS Site Config'!$A$3:$AQ$51,18,FALSE)="Split",1,0),0)</f>
        <v>1</v>
      </c>
      <c r="T57" s="212">
        <f>IF(VLOOKUP(T$2,'TIS Site Config'!$A$4:$AQ$51,3,FALSE)&lt;&gt;"Soft",
          IF(VLOOKUP(T$2,'TIS Site Config'!$A$3:$AQ$51,18,FALSE)="Split",1,0),0)</f>
        <v>1</v>
      </c>
      <c r="U57" s="134">
        <f>IF(VLOOKUP(U$2,'TIS Site Config'!$A$4:$AQ$51,3,FALSE)&lt;&gt;"Soft",
          IF(VLOOKUP(U$2,'TIS Site Config'!$A$3:$AQ$51,18,FALSE)="Split",1,0),0)</f>
        <v>1</v>
      </c>
      <c r="V57" s="212">
        <f>IF(VLOOKUP(V$2,'TIS Site Config'!$A$4:$AQ$51,3,FALSE)&lt;&gt;"Soft",
          IF(VLOOKUP(V$2,'TIS Site Config'!$A$3:$AQ$51,18,FALSE)="Split",1,0),0)</f>
        <v>1</v>
      </c>
      <c r="W57" s="214">
        <f>IF(VLOOKUP(W$2,'TIS Site Config'!$A$4:$AQ$51,3,FALSE)&lt;&gt;"Soft",
          IF(VLOOKUP(W$2,'TIS Site Config'!$A$3:$AQ$51,18,FALSE)="Split",1,0),0)</f>
        <v>0</v>
      </c>
      <c r="X57" s="309">
        <f>IF(VLOOKUP(X$2,'TIS Site Config'!$A$4:$AQ$51,3,FALSE)&lt;&gt;"Soft",
          IF(VLOOKUP(X$2,'TIS Site Config'!$A$3:$AQ$51,18,FALSE)="Split",1,0),0)</f>
        <v>0</v>
      </c>
      <c r="Y57" s="212">
        <f>IF(VLOOKUP(Y$2,'TIS Site Config'!$A$4:$AQ$51,3,FALSE)&lt;&gt;"Soft",
          IF(VLOOKUP(Y$2,'TIS Site Config'!$A$3:$AQ$51,18,FALSE)="Split",1,0),0)</f>
        <v>0</v>
      </c>
      <c r="Z57" s="134">
        <f>IF(VLOOKUP(Z$2,'TIS Site Config'!$A$4:$AQ$51,3,FALSE)&lt;&gt;"Soft",
          IF(VLOOKUP(Z$2,'TIS Site Config'!$A$3:$AQ$51,18,FALSE)="Split",1,0),0)</f>
        <v>1</v>
      </c>
      <c r="AA57" s="309">
        <f>IF(VLOOKUP(AA$2,'TIS Site Config'!$A$4:$AQ$51,3,FALSE)&lt;&gt;"Soft",
          IF(VLOOKUP(AA$2,'TIS Site Config'!$A$3:$AQ$51,18,FALSE)="Split",1,0),0)</f>
        <v>0</v>
      </c>
      <c r="AB57" s="212">
        <f>IF(VLOOKUP(AB$2,'TIS Site Config'!$A$4:$AQ$51,3,FALSE)&lt;&gt;"Soft",
          IF(VLOOKUP(AB$2,'TIS Site Config'!$A$3:$AQ$51,18,FALSE)="Split",1,0),0)</f>
        <v>1</v>
      </c>
      <c r="AC57" s="309">
        <f>IF(VLOOKUP(AC$2,'TIS Site Config'!$A$4:$AQ$51,3,FALSE)&lt;&gt;"Soft",
          IF(VLOOKUP(AC$2,'TIS Site Config'!$A$3:$AQ$51,18,FALSE)="Split",1,0),0)</f>
        <v>0</v>
      </c>
      <c r="AD57" s="213">
        <f>IF(VLOOKUP(AD$2,'TIS Site Config'!$A$4:$AQ$51,3,FALSE)&lt;&gt;"Soft",
          IF(VLOOKUP(AD$2,'TIS Site Config'!$A$3:$AQ$51,18,FALSE)="Split",1,0),0)</f>
        <v>1</v>
      </c>
      <c r="AE57" s="213">
        <f>IF(VLOOKUP(AE$2,'TIS Site Config'!$A$4:$AQ$51,3,FALSE)&lt;&gt;"Soft",
          IF(VLOOKUP(AE$2,'TIS Site Config'!$A$3:$AQ$51,18,FALSE)="Split",1,0),0)</f>
        <v>1</v>
      </c>
      <c r="AF57" s="39">
        <f>IF(VLOOKUP(AF$2,'TIS Site Config'!$A$4:$AQ$51,3,FALSE)&lt;&gt;"Soft",
          IF(VLOOKUP(AF$2,'TIS Site Config'!$A$3:$AQ$51,18,FALSE)="Split",1,0),0)</f>
        <v>1</v>
      </c>
      <c r="AG57" s="309">
        <f>IF(VLOOKUP(AG$2,'TIS Site Config'!$A$4:$AQ$51,3,FALSE)&lt;&gt;"Soft",
          IF(VLOOKUP(AG$2,'TIS Site Config'!$A$3:$AQ$51,18,FALSE)="Split",1,0),0)</f>
        <v>0</v>
      </c>
      <c r="AH57" s="212">
        <f>IF(VLOOKUP(AH$2,'TIS Site Config'!$A$4:$AQ$51,3,FALSE)&lt;&gt;"Soft",
          IF(VLOOKUP(AH$2,'TIS Site Config'!$A$3:$AQ$51,18,FALSE)="Split",1,0),0)</f>
        <v>1</v>
      </c>
      <c r="AI57" s="134">
        <f>IF(VLOOKUP(AI$2,'TIS Site Config'!$A$4:$AQ$51,3,FALSE)&lt;&gt;"Soft",
          IF(VLOOKUP(AI$2,'TIS Site Config'!$A$3:$AQ$51,18,FALSE)="Split",1,0),0)</f>
        <v>1</v>
      </c>
      <c r="AJ57" s="309">
        <f>IF(VLOOKUP(AJ$2,'TIS Site Config'!$A$4:$AQ$51,3,FALSE)&lt;&gt;"Soft",
          IF(VLOOKUP(AJ$2,'TIS Site Config'!$A$3:$AQ$51,18,FALSE)="Split",1,0),0)</f>
        <v>1</v>
      </c>
      <c r="AK57" s="212">
        <f>IF(VLOOKUP(AK$2,'TIS Site Config'!$A$4:$AQ$51,3,FALSE)&lt;&gt;"Soft",
          IF(VLOOKUP(AK$2,'TIS Site Config'!$A$3:$AQ$51,18,FALSE)="Split",1,0),0)</f>
        <v>0</v>
      </c>
      <c r="AL57" s="1012">
        <f>IF(VLOOKUP(AL$2,'TIS Site Config'!$A$4:$AQ$51,3,FALSE)&lt;&gt;"Soft",
          IF(VLOOKUP(AL$2,'TIS Site Config'!$A$3:$AQ$51,18,FALSE)="Split",1,0),0)</f>
        <v>1</v>
      </c>
      <c r="AM57" s="309">
        <f>IF(VLOOKUP(AM$2,'TIS Site Config'!$A$4:$AQ$51,3,FALSE)&lt;&gt;"Soft",
          IF(VLOOKUP(AM$2,'TIS Site Config'!$A$3:$AQ$51,18,FALSE)="Split",1,0),0)</f>
        <v>1</v>
      </c>
      <c r="AN57" s="212">
        <f>IF(VLOOKUP(AN$2,'TIS Site Config'!$A$4:$AQ$51,3,FALSE)&lt;&gt;"Soft",
          IF(VLOOKUP(AN$2,'TIS Site Config'!$A$3:$AQ$51,18,FALSE)="Split",1,0),0)</f>
        <v>0</v>
      </c>
      <c r="AO57" s="134">
        <f>IF(VLOOKUP(AO$2,'TIS Site Config'!$A$4:$AQ$51,3,FALSE)&lt;&gt;"Soft",
          IF(VLOOKUP(AO$2,'TIS Site Config'!$A$3:$AQ$51,18,FALSE)="Split",1,0),0)</f>
        <v>1</v>
      </c>
      <c r="AP57" s="309">
        <f>IF(VLOOKUP(AP$2,'TIS Site Config'!$A$4:$AQ$51,3,FALSE)&lt;&gt;"Soft",
          IF(VLOOKUP(AP$2,'TIS Site Config'!$A$3:$AQ$51,18,FALSE)="Split",1,0),0)</f>
        <v>1</v>
      </c>
      <c r="AQ57" s="134">
        <f>IF(VLOOKUP(AQ$2,'TIS Site Config'!$A$4:$AQ$51,3,FALSE)&lt;&gt;"Soft",
          IF(VLOOKUP(AQ$2,'TIS Site Config'!$A$3:$AQ$51,18,FALSE)="Split",1,0),0)</f>
        <v>0</v>
      </c>
      <c r="AR57" s="134">
        <f>IF(VLOOKUP(AR$2,'TIS Site Config'!$A$4:$AQ$51,3,FALSE)&lt;&gt;"Soft",
          IF(VLOOKUP(AR$2,'TIS Site Config'!$A$3:$AQ$51,18,FALSE)="Split",1,0),0)</f>
        <v>1</v>
      </c>
      <c r="AS57" s="309">
        <f>IF(VLOOKUP(AS$2,'TIS Site Config'!$A$4:$AQ$51,3,FALSE)&lt;&gt;"Soft",
          IF(VLOOKUP(AS$2,'TIS Site Config'!$A$3:$AQ$51,18,FALSE)="Split",1,0),0)</f>
        <v>0</v>
      </c>
      <c r="AT57" s="134">
        <f>IF(VLOOKUP(AT$2,'TIS Site Config'!$A$4:$AQ$51,3,FALSE)&lt;&gt;"Soft",
          IF(VLOOKUP(AT$2,'TIS Site Config'!$A$3:$AQ$51,18,FALSE)="Split",1,0),0)</f>
        <v>0</v>
      </c>
      <c r="AU57" s="309">
        <f>IF(VLOOKUP(AU$2,'TIS Site Config'!$A$4:$AQ$51,3,FALSE)&lt;&gt;"Soft",
          IF(VLOOKUP(AU$2,'TIS Site Config'!$A$3:$AQ$51,18,FALSE)="Split",1,0),0)</f>
        <v>0</v>
      </c>
      <c r="AV57" s="134">
        <f>IF(VLOOKUP(AV$2,'TIS Site Config'!$A$4:$AQ$51,3,FALSE)&lt;&gt;"Soft",
          IF(VLOOKUP(AV$2,'TIS Site Config'!$A$3:$AQ$51,18,FALSE)="Split",1,0),0)</f>
        <v>0</v>
      </c>
      <c r="AW57" s="134">
        <f>IF(VLOOKUP(AW$2,'TIS Site Config'!$A$4:$AQ$51,3,FALSE)&lt;&gt;"Soft",
          IF(VLOOKUP(AW$2,'TIS Site Config'!$A$3:$AQ$51,18,FALSE)="Split",1,0),0)</f>
        <v>1</v>
      </c>
      <c r="AX57" s="212">
        <f>IF(VLOOKUP(AX$2,'TIS Site Config'!$A$4:$AQ$51,3,FALSE)&lt;&gt;"Soft",
          IF(VLOOKUP(AX$2,'TIS Site Config'!$A$3:$AQ$51,18,FALSE)="Split",1,0),0)</f>
        <v>0</v>
      </c>
      <c r="AY57" s="134">
        <f>IF(VLOOKUP(AY$2,'TIS Site Config'!$A$4:$AQ$51,3,FALSE)&lt;&gt;"Soft",
          IF(VLOOKUP(AY$2,'TIS Site Config'!$A$3:$AQ$51,18,FALSE)="Split",1,0),0)</f>
        <v>1</v>
      </c>
      <c r="AZ57" s="309">
        <f>IF(VLOOKUP(AZ$2,'TIS Site Config'!$A$4:$AQ$51,3,FALSE)&lt;&gt;"Soft",
          IF(VLOOKUP(AZ$2,'TIS Site Config'!$A$3:$AQ$51,18,FALSE)="Split",1,0),0)</f>
        <v>1</v>
      </c>
      <c r="BA57" s="213">
        <f>IF(VLOOKUP(BA$2,'TIS Site Config'!$A$4:$AQ$51,3,FALSE)&lt;&gt;"Soft",
          IF(VLOOKUP(BA$2,'TIS Site Config'!$A$3:$AQ$51,18,FALSE)="Split",1,0),0)</f>
        <v>0</v>
      </c>
      <c r="BB57" s="134">
        <f>IF(VLOOKUP(BB$2,'TIS Site Config'!$A$4:$AQ$51,3,FALSE)&lt;&gt;"Soft",
          IF(VLOOKUP(BB$2,'TIS Site Config'!$A$3:$AQ$51,18,FALSE)="Split",1,0),0)</f>
        <v>1</v>
      </c>
      <c r="BC57" s="212">
        <f>IF(VLOOKUP(BC$2,'TIS Site Config'!$A$4:$AQ$51,3,FALSE)&lt;&gt;"Soft",
          IF(VLOOKUP(BC$2,'TIS Site Config'!$A$3:$AQ$51,18,FALSE)="Split",1,0),0)</f>
        <v>0</v>
      </c>
      <c r="BD57" s="134">
        <f>IF(VLOOKUP(BD$2,'TIS Site Config'!$A$4:$AQ$51,3,FALSE)&lt;&gt;"Soft",
          IF(VLOOKUP(BD$2,'TIS Site Config'!$A$3:$AQ$51,18,FALSE)="Split",1,0),0)</f>
        <v>0</v>
      </c>
      <c r="BE57" s="309">
        <f>IF(VLOOKUP(BE$2,'TIS Site Config'!$A$4:$AQ$51,3,FALSE)&lt;&gt;"Soft",
          IF(VLOOKUP(BE$2,'TIS Site Config'!$A$3:$AQ$51,18,FALSE)="Split",1,0),0)</f>
        <v>0</v>
      </c>
      <c r="BF57" s="212">
        <f>IF(VLOOKUP(BF$2,'TIS Site Config'!$A$4:$AQ$51,3,FALSE)&lt;&gt;"Soft",
          IF(VLOOKUP(BF$2,'TIS Site Config'!$A$3:$AQ$51,18,FALSE)="Split",1,0),0)</f>
        <v>0</v>
      </c>
      <c r="BG57" s="60">
        <f>IF(VLOOKUP(BG$2,'TIS Site Config'!$A$4:$AQ$51,3,FALSE)&lt;&gt;"Soft",
          IF(VLOOKUP(BG$2,'TIS Site Config'!$A$3:$AQ$51,18,FALSE)="Split",1,0),0)</f>
        <v>0</v>
      </c>
      <c r="BH57" s="60">
        <f>IF(VLOOKUP(BH$2,'TIS Site Config'!$A$4:$AQ$51,3,FALSE)&lt;&gt;"Soft",
          IF(VLOOKUP(BH$2,'TIS Site Config'!$A$3:$AQ$51,18,FALSE)="Split",1,0),0)</f>
        <v>1</v>
      </c>
      <c r="BK57" s="9">
        <v>27</v>
      </c>
      <c r="BL57" s="950" t="b">
        <f t="shared" si="4"/>
        <v>0</v>
      </c>
      <c r="BO57" s="950"/>
    </row>
    <row r="58" spans="1:67" s="9" customFormat="1" x14ac:dyDescent="0.25">
      <c r="A58" s="1366"/>
      <c r="B58" s="1343"/>
      <c r="C58" s="69" t="s">
        <v>154</v>
      </c>
      <c r="D58" s="91">
        <v>1</v>
      </c>
      <c r="E58" s="85" t="s">
        <v>321</v>
      </c>
      <c r="F58" s="62">
        <f t="shared" si="1"/>
        <v>53</v>
      </c>
      <c r="G58" s="450"/>
      <c r="H58" s="451"/>
      <c r="I58" s="451"/>
      <c r="J58" s="451"/>
      <c r="K58" s="452"/>
      <c r="L58" s="491"/>
      <c r="M58" s="136">
        <f>IF(VLOOKUP(M$2,'TIS Site Config'!$A$4:$AQ$51,3,FALSE)&lt;&gt;"Soft",
          IF(
                VLOOKUP(M$2,'TIS Site Config'!$A$3:$AQ$51,18,FALSE)="Combined",
                        (VLOOKUP(M$2,'TIS Site Config'!$A$3:$AQ$51,17,FALSE)-3),0),0)</f>
        <v>0</v>
      </c>
      <c r="N58" s="222">
        <f>IF(VLOOKUP(N$2,'TIS Site Config'!$A$4:$AQ$51,3,FALSE)&lt;&gt;"Soft",
          IF(
                VLOOKUP(N$2,'TIS Site Config'!$A$3:$AQ$51,18,FALSE)="Combined",
                        (VLOOKUP(N$2,'TIS Site Config'!$A$3:$AQ$51,17,FALSE)-3),0),0)</f>
        <v>3</v>
      </c>
      <c r="O58" s="225">
        <f>IF(VLOOKUP(O$2,'TIS Site Config'!$A$4:$AQ$51,3,FALSE)&lt;&gt;"Soft",
          IF(
                VLOOKUP(O$2,'TIS Site Config'!$A$3:$AQ$51,18,FALSE)="Combined",
                        (VLOOKUP(O$2,'TIS Site Config'!$A$3:$AQ$51,17,FALSE)-3),0),0)</f>
        <v>0</v>
      </c>
      <c r="P58" s="21">
        <f>IF(VLOOKUP(P$2,'TIS Site Config'!$A$4:$AQ$51,3,FALSE)&lt;&gt;"Soft",
          IF(
                VLOOKUP(P$2,'TIS Site Config'!$A$3:$AQ$51,18,FALSE)="Combined",
                        (VLOOKUP(P$2,'TIS Site Config'!$A$3:$AQ$51,17,FALSE)-3),0),0)</f>
        <v>3</v>
      </c>
      <c r="Q58" s="222">
        <f>IF(VLOOKUP(Q$2,'TIS Site Config'!$A$4:$AQ$51,3,FALSE)&lt;&gt;"Soft",
          IF(
                VLOOKUP(Q$2,'TIS Site Config'!$A$3:$AQ$51,18,FALSE)="Combined",
                        (VLOOKUP(Q$2,'TIS Site Config'!$A$3:$AQ$51,17,FALSE)-3),0),0)</f>
        <v>1</v>
      </c>
      <c r="R58" s="136">
        <f>IF(VLOOKUP(R$2,'TIS Site Config'!$A$4:$AQ$51,3,FALSE)&lt;&gt;"Soft",
          IF(
                VLOOKUP(R$2,'TIS Site Config'!$A$3:$AQ$51,18,FALSE)="Combined",
                        (VLOOKUP(R$2,'TIS Site Config'!$A$3:$AQ$51,17,FALSE)-3),0),0)</f>
        <v>3</v>
      </c>
      <c r="S58" s="21">
        <f>IF(VLOOKUP(S$2,'TIS Site Config'!$A$4:$AQ$51,3,FALSE)&lt;&gt;"Soft",
          IF(
                VLOOKUP(S$2,'TIS Site Config'!$A$3:$AQ$51,18,FALSE)="Combined",
                        (VLOOKUP(S$2,'TIS Site Config'!$A$3:$AQ$51,17,FALSE)-3),0),0)</f>
        <v>0</v>
      </c>
      <c r="T58" s="222">
        <f>IF(VLOOKUP(T$2,'TIS Site Config'!$A$4:$AQ$51,3,FALSE)&lt;&gt;"Soft",
          IF(
                VLOOKUP(T$2,'TIS Site Config'!$A$3:$AQ$51,18,FALSE)="Combined",
                        (VLOOKUP(T$2,'TIS Site Config'!$A$3:$AQ$51,17,FALSE)-3),0),0)</f>
        <v>0</v>
      </c>
      <c r="U58" s="136">
        <f>IF(VLOOKUP(U$2,'TIS Site Config'!$A$4:$AQ$51,3,FALSE)&lt;&gt;"Soft",
          IF(
                VLOOKUP(U$2,'TIS Site Config'!$A$3:$AQ$51,18,FALSE)="Combined",
                        (VLOOKUP(U$2,'TIS Site Config'!$A$3:$AQ$51,17,FALSE)-3),0),0)</f>
        <v>0</v>
      </c>
      <c r="V58" s="222">
        <f>IF(VLOOKUP(V$2,'TIS Site Config'!$A$4:$AQ$51,3,FALSE)&lt;&gt;"Soft",
          IF(
                VLOOKUP(V$2,'TIS Site Config'!$A$3:$AQ$51,18,FALSE)="Combined",
                        (VLOOKUP(V$2,'TIS Site Config'!$A$3:$AQ$51,17,FALSE)-3),0),0)</f>
        <v>0</v>
      </c>
      <c r="W58" s="224">
        <f>IF(VLOOKUP(W$2,'TIS Site Config'!$A$4:$AQ$51,3,FALSE)&lt;&gt;"Soft",
          IF(
                VLOOKUP(W$2,'TIS Site Config'!$A$3:$AQ$51,18,FALSE)="Combined",
                        (VLOOKUP(W$2,'TIS Site Config'!$A$3:$AQ$51,17,FALSE)-3),0),0)</f>
        <v>3</v>
      </c>
      <c r="X58" s="21">
        <f>IF(VLOOKUP(X$2,'TIS Site Config'!$A$4:$AQ$51,3,FALSE)&lt;&gt;"Soft",
          IF(
                VLOOKUP(X$2,'TIS Site Config'!$A$3:$AQ$51,18,FALSE)="Combined",
                        (VLOOKUP(X$2,'TIS Site Config'!$A$3:$AQ$51,17,FALSE)-3),0),0)</f>
        <v>3</v>
      </c>
      <c r="Y58" s="222">
        <f>IF(VLOOKUP(Y$2,'TIS Site Config'!$A$4:$AQ$51,3,FALSE)&lt;&gt;"Soft",
          IF(
                VLOOKUP(Y$2,'TIS Site Config'!$A$3:$AQ$51,18,FALSE)="Combined",
                        (VLOOKUP(Y$2,'TIS Site Config'!$A$3:$AQ$51,17,FALSE)-3),0),0)</f>
        <v>3</v>
      </c>
      <c r="Z58" s="136">
        <f>IF(VLOOKUP(Z$2,'TIS Site Config'!$A$4:$AQ$51,3,FALSE)&lt;&gt;"Soft",
          IF(
                VLOOKUP(Z$2,'TIS Site Config'!$A$3:$AQ$51,18,FALSE)="Combined",
                        (VLOOKUP(Z$2,'TIS Site Config'!$A$3:$AQ$51,17,FALSE)-3),0),0)</f>
        <v>0</v>
      </c>
      <c r="AA58" s="21">
        <f>IF(VLOOKUP(AA$2,'TIS Site Config'!$A$4:$AQ$51,3,FALSE)&lt;&gt;"Soft",
          IF(
                VLOOKUP(AA$2,'TIS Site Config'!$A$3:$AQ$51,18,FALSE)="Combined",
                        (VLOOKUP(AA$2,'TIS Site Config'!$A$3:$AQ$51,17,FALSE)-3),0),0)</f>
        <v>3</v>
      </c>
      <c r="AB58" s="222">
        <f>IF(VLOOKUP(AB$2,'TIS Site Config'!$A$4:$AQ$51,3,FALSE)&lt;&gt;"Soft",
          IF(
                VLOOKUP(AB$2,'TIS Site Config'!$A$3:$AQ$51,18,FALSE)="Combined",
                        (VLOOKUP(AB$2,'TIS Site Config'!$A$3:$AQ$51,17,FALSE)-3),0),0)</f>
        <v>0</v>
      </c>
      <c r="AC58" s="21">
        <f>IF(VLOOKUP(AC$2,'TIS Site Config'!$A$4:$AQ$51,3,FALSE)&lt;&gt;"Soft",
          IF(
                VLOOKUP(AC$2,'TIS Site Config'!$A$3:$AQ$51,18,FALSE)="Combined",
                        (VLOOKUP(AC$2,'TIS Site Config'!$A$3:$AQ$51,17,FALSE)-3),0),0)</f>
        <v>3</v>
      </c>
      <c r="AD58" s="223">
        <f>IF(VLOOKUP(AD$2,'TIS Site Config'!$A$4:$AQ$51,3,FALSE)&lt;&gt;"Soft",
          IF(
                VLOOKUP(AD$2,'TIS Site Config'!$A$3:$AQ$51,18,FALSE)="Combined",
                        (VLOOKUP(AD$2,'TIS Site Config'!$A$3:$AQ$51,17,FALSE)-3),0),0)</f>
        <v>0</v>
      </c>
      <c r="AE58" s="223">
        <f>IF(VLOOKUP(AE$2,'TIS Site Config'!$A$4:$AQ$51,3,FALSE)&lt;&gt;"Soft",
          IF(
                VLOOKUP(AE$2,'TIS Site Config'!$A$3:$AQ$51,18,FALSE)="Combined",
                        (VLOOKUP(AE$2,'TIS Site Config'!$A$3:$AQ$51,17,FALSE)-3),0),0)</f>
        <v>0</v>
      </c>
      <c r="AF58" s="16">
        <f>IF(VLOOKUP(AF$2,'TIS Site Config'!$A$4:$AQ$51,3,FALSE)&lt;&gt;"Soft",
          IF(
                VLOOKUP(AF$2,'TIS Site Config'!$A$3:$AQ$51,18,FALSE)="Combined",
                        (VLOOKUP(AF$2,'TIS Site Config'!$A$3:$AQ$51,17,FALSE)-3),0),0)</f>
        <v>0</v>
      </c>
      <c r="AG58" s="21">
        <f>IF(VLOOKUP(AG$2,'TIS Site Config'!$A$4:$AQ$51,3,FALSE)&lt;&gt;"Soft",
          IF(
                VLOOKUP(AG$2,'TIS Site Config'!$A$3:$AQ$51,18,FALSE)="Combined",
                        (VLOOKUP(AG$2,'TIS Site Config'!$A$3:$AQ$51,17,FALSE)-3),0),0)</f>
        <v>3</v>
      </c>
      <c r="AH58" s="222">
        <f>IF(VLOOKUP(AH$2,'TIS Site Config'!$A$4:$AQ$51,3,FALSE)&lt;&gt;"Soft",
          IF(
                VLOOKUP(AH$2,'TIS Site Config'!$A$3:$AQ$51,18,FALSE)="Combined",
                        (VLOOKUP(AH$2,'TIS Site Config'!$A$3:$AQ$51,17,FALSE)-3),0),0)</f>
        <v>0</v>
      </c>
      <c r="AI58" s="136">
        <f>IF(VLOOKUP(AI$2,'TIS Site Config'!$A$4:$AQ$51,3,FALSE)&lt;&gt;"Soft",
          IF(
                VLOOKUP(AI$2,'TIS Site Config'!$A$3:$AQ$51,18,FALSE)="Combined",
                        (VLOOKUP(AI$2,'TIS Site Config'!$A$3:$AQ$51,17,FALSE)-3),0),0)</f>
        <v>0</v>
      </c>
      <c r="AJ58" s="21">
        <f>IF(VLOOKUP(AJ$2,'TIS Site Config'!$A$4:$AQ$51,3,FALSE)&lt;&gt;"Soft",
          IF(
                VLOOKUP(AJ$2,'TIS Site Config'!$A$3:$AQ$51,18,FALSE)="Combined",
                        (VLOOKUP(AJ$2,'TIS Site Config'!$A$3:$AQ$51,17,FALSE)-3),0),0)</f>
        <v>0</v>
      </c>
      <c r="AK58" s="222">
        <f>IF(VLOOKUP(AK$2,'TIS Site Config'!$A$4:$AQ$51,3,FALSE)&lt;&gt;"Soft",
          IF(
                VLOOKUP(AK$2,'TIS Site Config'!$A$3:$AQ$51,18,FALSE)="Combined",
                        (VLOOKUP(AK$2,'TIS Site Config'!$A$3:$AQ$51,17,FALSE)-3),0),0)</f>
        <v>1</v>
      </c>
      <c r="AL58" s="136">
        <f>IF(VLOOKUP(AL$2,'TIS Site Config'!$A$4:$AQ$51,3,FALSE)&lt;&gt;"Soft",
          IF(
                VLOOKUP(AL$2,'TIS Site Config'!$A$3:$AQ$51,18,FALSE)="Combined",
                        (VLOOKUP(AL$2,'TIS Site Config'!$A$3:$AQ$51,17,FALSE)-3),0),0)</f>
        <v>0</v>
      </c>
      <c r="AM58" s="21">
        <f>IF(VLOOKUP(AM$2,'TIS Site Config'!$A$4:$AQ$51,3,FALSE)&lt;&gt;"Soft",
          IF(
                VLOOKUP(AM$2,'TIS Site Config'!$A$3:$AQ$51,18,FALSE)="Combined",
                        (VLOOKUP(AM$2,'TIS Site Config'!$A$3:$AQ$51,17,FALSE)-3),0),0)</f>
        <v>0</v>
      </c>
      <c r="AN58" s="222">
        <f>IF(VLOOKUP(AN$2,'TIS Site Config'!$A$4:$AQ$51,3,FALSE)&lt;&gt;"Soft",
          IF(
                VLOOKUP(AN$2,'TIS Site Config'!$A$3:$AQ$51,18,FALSE)="Combined",
                        (VLOOKUP(AN$2,'TIS Site Config'!$A$3:$AQ$51,17,FALSE)-3),0),0)</f>
        <v>2</v>
      </c>
      <c r="AO58" s="136">
        <f>IF(VLOOKUP(AO$2,'TIS Site Config'!$A$4:$AQ$51,3,FALSE)&lt;&gt;"Soft",
          IF(
                VLOOKUP(AO$2,'TIS Site Config'!$A$3:$AQ$51,18,FALSE)="Combined",
                        (VLOOKUP(AO$2,'TIS Site Config'!$A$3:$AQ$51,17,FALSE)-3),0),0)</f>
        <v>0</v>
      </c>
      <c r="AP58" s="21">
        <f>IF(VLOOKUP(AP$2,'TIS Site Config'!$A$4:$AQ$51,3,FALSE)&lt;&gt;"Soft",
          IF(
                VLOOKUP(AP$2,'TIS Site Config'!$A$3:$AQ$51,18,FALSE)="Combined",
                        (VLOOKUP(AP$2,'TIS Site Config'!$A$3:$AQ$51,17,FALSE)-3),0),0)</f>
        <v>0</v>
      </c>
      <c r="AQ58" s="136">
        <f>IF(VLOOKUP(AQ$2,'TIS Site Config'!$A$4:$AQ$51,3,FALSE)&lt;&gt;"Soft",
          IF(
                VLOOKUP(AQ$2,'TIS Site Config'!$A$3:$AQ$51,18,FALSE)="Combined",
                        (VLOOKUP(AQ$2,'TIS Site Config'!$A$3:$AQ$51,17,FALSE)-3),0),0)</f>
        <v>3</v>
      </c>
      <c r="AR58" s="136">
        <f>IF(VLOOKUP(AR$2,'TIS Site Config'!$A$4:$AQ$51,3,FALSE)&lt;&gt;"Soft",
          IF(
                VLOOKUP(AR$2,'TIS Site Config'!$A$3:$AQ$51,18,FALSE)="Combined",
                        (VLOOKUP(AR$2,'TIS Site Config'!$A$3:$AQ$51,17,FALSE)-3),0),0)</f>
        <v>0</v>
      </c>
      <c r="AS58" s="21">
        <f>IF(VLOOKUP(AS$2,'TIS Site Config'!$A$4:$AQ$51,3,FALSE)&lt;&gt;"Soft",
          IF(
                VLOOKUP(AS$2,'TIS Site Config'!$A$3:$AQ$51,18,FALSE)="Combined",
                        (VLOOKUP(AS$2,'TIS Site Config'!$A$3:$AQ$51,17,FALSE)-3),0),0)</f>
        <v>1</v>
      </c>
      <c r="AT58" s="136">
        <f>IF(VLOOKUP(AT$2,'TIS Site Config'!$A$4:$AQ$51,3,FALSE)&lt;&gt;"Soft",
          IF(
                VLOOKUP(AT$2,'TIS Site Config'!$A$3:$AQ$51,18,FALSE)="Combined",
                        (VLOOKUP(AT$2,'TIS Site Config'!$A$3:$AQ$51,17,FALSE)-3),0),0)</f>
        <v>1</v>
      </c>
      <c r="AU58" s="21">
        <f>IF(VLOOKUP(AU$2,'TIS Site Config'!$A$4:$AQ$51,3,FALSE)&lt;&gt;"Soft",
          IF(
                VLOOKUP(AU$2,'TIS Site Config'!$A$3:$AQ$51,18,FALSE)="Combined",
                        (VLOOKUP(AU$2,'TIS Site Config'!$A$3:$AQ$51,17,FALSE)-3),0),0)</f>
        <v>1</v>
      </c>
      <c r="AV58" s="136">
        <f>IF(VLOOKUP(AV$2,'TIS Site Config'!$A$4:$AQ$51,3,FALSE)&lt;&gt;"Soft",
          IF(
                VLOOKUP(AV$2,'TIS Site Config'!$A$3:$AQ$51,18,FALSE)="Combined",
                        (VLOOKUP(AV$2,'TIS Site Config'!$A$3:$AQ$51,17,FALSE)-3),0),0)</f>
        <v>1</v>
      </c>
      <c r="AW58" s="136">
        <f>IF(VLOOKUP(AW$2,'TIS Site Config'!$A$4:$AQ$51,3,FALSE)&lt;&gt;"Soft",
          IF(
                VLOOKUP(AW$2,'TIS Site Config'!$A$3:$AQ$51,18,FALSE)="Combined",
                        (VLOOKUP(AW$2,'TIS Site Config'!$A$3:$AQ$51,17,FALSE)-3),0),0)</f>
        <v>0</v>
      </c>
      <c r="AX58" s="222">
        <f>IF(VLOOKUP(AX$2,'TIS Site Config'!$A$4:$AQ$51,3,FALSE)&lt;&gt;"Soft",
          IF(
                VLOOKUP(AX$2,'TIS Site Config'!$A$3:$AQ$51,18,FALSE)="Combined",
                        (VLOOKUP(AX$2,'TIS Site Config'!$A$3:$AQ$51,17,FALSE)-3),0),0)</f>
        <v>2</v>
      </c>
      <c r="AY58" s="136">
        <f>IF(VLOOKUP(AY$2,'TIS Site Config'!$A$4:$AQ$51,3,FALSE)&lt;&gt;"Soft",
          IF(
                VLOOKUP(AY$2,'TIS Site Config'!$A$3:$AQ$51,18,FALSE)="Combined",
                        (VLOOKUP(AY$2,'TIS Site Config'!$A$3:$AQ$51,17,FALSE)-3),0),0)</f>
        <v>0</v>
      </c>
      <c r="AZ58" s="21">
        <f>IF(VLOOKUP(AZ$2,'TIS Site Config'!$A$4:$AQ$51,3,FALSE)&lt;&gt;"Soft",
          IF(
                VLOOKUP(AZ$2,'TIS Site Config'!$A$3:$AQ$51,18,FALSE)="Combined",
                        (VLOOKUP(AZ$2,'TIS Site Config'!$A$3:$AQ$51,17,FALSE)-3),0),0)</f>
        <v>0</v>
      </c>
      <c r="BA58" s="223">
        <f>IF(VLOOKUP(BA$2,'TIS Site Config'!$A$4:$AQ$51,3,FALSE)&lt;&gt;"Soft",
          IF(
                VLOOKUP(BA$2,'TIS Site Config'!$A$3:$AQ$51,18,FALSE)="Combined",
                        (VLOOKUP(BA$2,'TIS Site Config'!$A$3:$AQ$51,17,FALSE)-3),0),0)</f>
        <v>4</v>
      </c>
      <c r="BB58" s="136">
        <f>IF(VLOOKUP(BB$2,'TIS Site Config'!$A$4:$AQ$51,3,FALSE)&lt;&gt;"Soft",
          IF(
                VLOOKUP(BB$2,'TIS Site Config'!$A$3:$AQ$51,18,FALSE)="Combined",
                        (VLOOKUP(BB$2,'TIS Site Config'!$A$3:$AQ$51,17,FALSE)-3),0),0)</f>
        <v>0</v>
      </c>
      <c r="BC58" s="222">
        <f>IF(VLOOKUP(BC$2,'TIS Site Config'!$A$4:$AQ$51,3,FALSE)&lt;&gt;"Soft",
          IF(
                VLOOKUP(BC$2,'TIS Site Config'!$A$3:$AQ$51,18,FALSE)="Combined",
                        (VLOOKUP(BC$2,'TIS Site Config'!$A$3:$AQ$51,17,FALSE)-3),0),0)</f>
        <v>1</v>
      </c>
      <c r="BD58" s="136">
        <f>IF(VLOOKUP(BD$2,'TIS Site Config'!$A$4:$AQ$51,3,FALSE)&lt;&gt;"Soft",
          IF(
                VLOOKUP(BD$2,'TIS Site Config'!$A$3:$AQ$51,18,FALSE)="Combined",
                        (VLOOKUP(BD$2,'TIS Site Config'!$A$3:$AQ$51,17,FALSE)-3),0),0)</f>
        <v>2</v>
      </c>
      <c r="BE58" s="21">
        <f>IF(VLOOKUP(BE$2,'TIS Site Config'!$A$4:$AQ$51,3,FALSE)&lt;&gt;"Soft",
          IF(
                VLOOKUP(BE$2,'TIS Site Config'!$A$3:$AQ$51,18,FALSE)="Combined",
                        (VLOOKUP(BE$2,'TIS Site Config'!$A$3:$AQ$51,17,FALSE)-3),0),0)</f>
        <v>2</v>
      </c>
      <c r="BF58" s="222">
        <f>IF(VLOOKUP(BF$2,'TIS Site Config'!$A$4:$AQ$51,3,FALSE)&lt;&gt;"Soft",
          IF(
                VLOOKUP(BF$2,'TIS Site Config'!$A$3:$AQ$51,18,FALSE)="Combined",
                        (VLOOKUP(BF$2,'TIS Site Config'!$A$3:$AQ$51,17,FALSE)-3),0),0)</f>
        <v>1</v>
      </c>
      <c r="BG58" s="62">
        <f>IF(VLOOKUP(BG$2,'TIS Site Config'!$A$4:$AQ$51,3,FALSE)&lt;&gt;"Soft",
          IF(
                VLOOKUP(BG$2,'TIS Site Config'!$A$3:$AQ$51,18,FALSE)="Combined",
                        (VLOOKUP(BG$2,'TIS Site Config'!$A$3:$AQ$51,17,FALSE)-3),0),0)</f>
        <v>3</v>
      </c>
      <c r="BH58" s="62">
        <f>IF(VLOOKUP(BH$2,'TIS Site Config'!$A$4:$AQ$51,3,FALSE)&lt;&gt;"Soft",
          IF(
                VLOOKUP(BH$2,'TIS Site Config'!$A$3:$AQ$51,18,FALSE)="Combined",
                        (VLOOKUP(BH$2,'TIS Site Config'!$A$3:$AQ$51,17,FALSE)-3),0),0)</f>
        <v>0</v>
      </c>
      <c r="BK58" s="9">
        <v>58</v>
      </c>
      <c r="BL58" s="950" t="b">
        <f t="shared" si="4"/>
        <v>0</v>
      </c>
      <c r="BO58" s="950"/>
    </row>
    <row r="59" spans="1:67" x14ac:dyDescent="0.25">
      <c r="A59" s="1366"/>
      <c r="B59" s="1343"/>
      <c r="C59" s="69" t="s">
        <v>153</v>
      </c>
      <c r="D59" s="91">
        <v>1</v>
      </c>
      <c r="E59" s="85" t="s">
        <v>322</v>
      </c>
      <c r="F59" s="62">
        <f t="shared" si="1"/>
        <v>24</v>
      </c>
      <c r="G59" s="450"/>
      <c r="H59" s="451"/>
      <c r="I59" s="451"/>
      <c r="J59" s="451"/>
      <c r="K59" s="452"/>
      <c r="L59" s="491"/>
      <c r="M59" s="136">
        <f>IF(VLOOKUP(M$2,'TIS Site Config'!$A$4:$AQ$51,3,FALSE)&lt;&gt;"Soft",
          IF(VLOOKUP(M$2,'TIS Site Config'!$A$3:$AQ$51,18,FALSE)="Combined",1,0),0)</f>
        <v>0</v>
      </c>
      <c r="N59" s="222">
        <f>IF(VLOOKUP(N$2,'TIS Site Config'!$A$4:$AQ$51,3,FALSE)&lt;&gt;"Soft",
          IF(VLOOKUP(N$2,'TIS Site Config'!$A$3:$AQ$51,18,FALSE)="Combined",1,0),0)</f>
        <v>1</v>
      </c>
      <c r="O59" s="225">
        <f>IF(VLOOKUP(O$2,'TIS Site Config'!$A$4:$AQ$51,3,FALSE)&lt;&gt;"Soft",
          IF(VLOOKUP(O$2,'TIS Site Config'!$A$3:$AQ$51,18,FALSE)="Combined",1,0),0)</f>
        <v>0</v>
      </c>
      <c r="P59" s="21">
        <f>IF(VLOOKUP(P$2,'TIS Site Config'!$A$4:$AQ$51,3,FALSE)&lt;&gt;"Soft",
          IF(VLOOKUP(P$2,'TIS Site Config'!$A$3:$AQ$51,18,FALSE)="Combined",1,0),0)</f>
        <v>1</v>
      </c>
      <c r="Q59" s="222">
        <f>IF(VLOOKUP(Q$2,'TIS Site Config'!$A$4:$AQ$51,3,FALSE)&lt;&gt;"Soft",
          IF(VLOOKUP(Q$2,'TIS Site Config'!$A$3:$AQ$51,18,FALSE)="Combined",1,0),0)</f>
        <v>1</v>
      </c>
      <c r="R59" s="136">
        <f>IF(VLOOKUP(R$2,'TIS Site Config'!$A$4:$AQ$51,3,FALSE)&lt;&gt;"Soft",
          IF(VLOOKUP(R$2,'TIS Site Config'!$A$3:$AQ$51,18,FALSE)="Combined",1,0),0)</f>
        <v>1</v>
      </c>
      <c r="S59" s="21">
        <f>IF(VLOOKUP(S$2,'TIS Site Config'!$A$4:$AQ$51,3,FALSE)&lt;&gt;"Soft",
          IF(VLOOKUP(S$2,'TIS Site Config'!$A$3:$AQ$51,18,FALSE)="Combined",1,0),0)</f>
        <v>0</v>
      </c>
      <c r="T59" s="222">
        <f>IF(VLOOKUP(T$2,'TIS Site Config'!$A$4:$AQ$51,3,FALSE)&lt;&gt;"Soft",
          IF(VLOOKUP(T$2,'TIS Site Config'!$A$3:$AQ$51,18,FALSE)="Combined",1,0),0)</f>
        <v>0</v>
      </c>
      <c r="U59" s="136">
        <f>IF(VLOOKUP(U$2,'TIS Site Config'!$A$4:$AQ$51,3,FALSE)&lt;&gt;"Soft",
          IF(VLOOKUP(U$2,'TIS Site Config'!$A$3:$AQ$51,18,FALSE)="Combined",1,0),0)</f>
        <v>0</v>
      </c>
      <c r="V59" s="222">
        <f>IF(VLOOKUP(V$2,'TIS Site Config'!$A$4:$AQ$51,3,FALSE)&lt;&gt;"Soft",
          IF(VLOOKUP(V$2,'TIS Site Config'!$A$3:$AQ$51,18,FALSE)="Combined",1,0),0)</f>
        <v>0</v>
      </c>
      <c r="W59" s="224">
        <f>IF(VLOOKUP(W$2,'TIS Site Config'!$A$4:$AQ$51,3,FALSE)&lt;&gt;"Soft",
          IF(VLOOKUP(W$2,'TIS Site Config'!$A$3:$AQ$51,18,FALSE)="Combined",1,0),0)</f>
        <v>1</v>
      </c>
      <c r="X59" s="21">
        <f>IF(VLOOKUP(X$2,'TIS Site Config'!$A$4:$AQ$51,3,FALSE)&lt;&gt;"Soft",
          IF(VLOOKUP(X$2,'TIS Site Config'!$A$3:$AQ$51,18,FALSE)="Combined",1,0),0)</f>
        <v>1</v>
      </c>
      <c r="Y59" s="222">
        <f>IF(VLOOKUP(Y$2,'TIS Site Config'!$A$4:$AQ$51,3,FALSE)&lt;&gt;"Soft",
          IF(VLOOKUP(Y$2,'TIS Site Config'!$A$3:$AQ$51,18,FALSE)="Combined",1,0),0)</f>
        <v>1</v>
      </c>
      <c r="Z59" s="136">
        <f>IF(VLOOKUP(Z$2,'TIS Site Config'!$A$4:$AQ$51,3,FALSE)&lt;&gt;"Soft",
          IF(VLOOKUP(Z$2,'TIS Site Config'!$A$3:$AQ$51,18,FALSE)="Combined",1,0),0)</f>
        <v>0</v>
      </c>
      <c r="AA59" s="21">
        <f>IF(VLOOKUP(AA$2,'TIS Site Config'!$A$4:$AQ$51,3,FALSE)&lt;&gt;"Soft",
          IF(VLOOKUP(AA$2,'TIS Site Config'!$A$3:$AQ$51,18,FALSE)="Combined",1,0),0)</f>
        <v>1</v>
      </c>
      <c r="AB59" s="222">
        <f>IF(VLOOKUP(AB$2,'TIS Site Config'!$A$4:$AQ$51,3,FALSE)&lt;&gt;"Soft",
          IF(VLOOKUP(AB$2,'TIS Site Config'!$A$3:$AQ$51,18,FALSE)="Combined",1,0),0)</f>
        <v>0</v>
      </c>
      <c r="AC59" s="21">
        <f>IF(VLOOKUP(AC$2,'TIS Site Config'!$A$4:$AQ$51,3,FALSE)&lt;&gt;"Soft",
          IF(VLOOKUP(AC$2,'TIS Site Config'!$A$3:$AQ$51,18,FALSE)="Combined",1,0),0)</f>
        <v>1</v>
      </c>
      <c r="AD59" s="223">
        <f>IF(VLOOKUP(AD$2,'TIS Site Config'!$A$4:$AQ$51,3,FALSE)&lt;&gt;"Soft",
          IF(VLOOKUP(AD$2,'TIS Site Config'!$A$3:$AQ$51,18,FALSE)="Combined",1,0),0)</f>
        <v>0</v>
      </c>
      <c r="AE59" s="223">
        <f>IF(VLOOKUP(AE$2,'TIS Site Config'!$A$4:$AQ$51,3,FALSE)&lt;&gt;"Soft",
          IF(VLOOKUP(AE$2,'TIS Site Config'!$A$3:$AQ$51,18,FALSE)="Combined",1,0),0)</f>
        <v>0</v>
      </c>
      <c r="AF59" s="16">
        <f>IF(VLOOKUP(AF$2,'TIS Site Config'!$A$4:$AQ$51,3,FALSE)&lt;&gt;"Soft",
          IF(VLOOKUP(AF$2,'TIS Site Config'!$A$3:$AQ$51,18,FALSE)="Combined",1,0),0)</f>
        <v>0</v>
      </c>
      <c r="AG59" s="21">
        <f>IF(VLOOKUP(AG$2,'TIS Site Config'!$A$4:$AQ$51,3,FALSE)&lt;&gt;"Soft",
          IF(VLOOKUP(AG$2,'TIS Site Config'!$A$3:$AQ$51,18,FALSE)="Combined",1,0),0)</f>
        <v>1</v>
      </c>
      <c r="AH59" s="222">
        <f>IF(VLOOKUP(AH$2,'TIS Site Config'!$A$4:$AQ$51,3,FALSE)&lt;&gt;"Soft",
          IF(VLOOKUP(AH$2,'TIS Site Config'!$A$3:$AQ$51,18,FALSE)="Combined",1,0),0)</f>
        <v>0</v>
      </c>
      <c r="AI59" s="136">
        <f>IF(VLOOKUP(AI$2,'TIS Site Config'!$A$4:$AQ$51,3,FALSE)&lt;&gt;"Soft",
          IF(VLOOKUP(AI$2,'TIS Site Config'!$A$3:$AQ$51,18,FALSE)="Combined",1,0),0)</f>
        <v>0</v>
      </c>
      <c r="AJ59" s="21">
        <f>IF(VLOOKUP(AJ$2,'TIS Site Config'!$A$4:$AQ$51,3,FALSE)&lt;&gt;"Soft",
          IF(VLOOKUP(AJ$2,'TIS Site Config'!$A$3:$AQ$51,18,FALSE)="Combined",1,0),0)</f>
        <v>0</v>
      </c>
      <c r="AK59" s="222">
        <f>IF(VLOOKUP(AK$2,'TIS Site Config'!$A$4:$AQ$51,3,FALSE)&lt;&gt;"Soft",
          IF(VLOOKUP(AK$2,'TIS Site Config'!$A$3:$AQ$51,18,FALSE)="Combined",1,0),0)</f>
        <v>1</v>
      </c>
      <c r="AL59" s="136">
        <f>IF(VLOOKUP(AL$2,'TIS Site Config'!$A$4:$AQ$51,3,FALSE)&lt;&gt;"Soft",
          IF(VLOOKUP(AL$2,'TIS Site Config'!$A$3:$AQ$51,18,FALSE)="Combined",1,0),0)</f>
        <v>0</v>
      </c>
      <c r="AM59" s="21">
        <f>IF(VLOOKUP(AM$2,'TIS Site Config'!$A$4:$AQ$51,3,FALSE)&lt;&gt;"Soft",
          IF(VLOOKUP(AM$2,'TIS Site Config'!$A$3:$AQ$51,18,FALSE)="Combined",1,0),0)</f>
        <v>0</v>
      </c>
      <c r="AN59" s="222">
        <f>IF(VLOOKUP(AN$2,'TIS Site Config'!$A$4:$AQ$51,3,FALSE)&lt;&gt;"Soft",
          IF(VLOOKUP(AN$2,'TIS Site Config'!$A$3:$AQ$51,18,FALSE)="Combined",1,0),0)</f>
        <v>1</v>
      </c>
      <c r="AO59" s="136">
        <f>IF(VLOOKUP(AO$2,'TIS Site Config'!$A$4:$AQ$51,3,FALSE)&lt;&gt;"Soft",
          IF(VLOOKUP(AO$2,'TIS Site Config'!$A$3:$AQ$51,18,FALSE)="Combined",1,0),0)</f>
        <v>0</v>
      </c>
      <c r="AP59" s="21">
        <f>IF(VLOOKUP(AP$2,'TIS Site Config'!$A$4:$AQ$51,3,FALSE)&lt;&gt;"Soft",
          IF(VLOOKUP(AP$2,'TIS Site Config'!$A$3:$AQ$51,18,FALSE)="Combined",1,0),0)</f>
        <v>0</v>
      </c>
      <c r="AQ59" s="136">
        <f>IF(VLOOKUP(AQ$2,'TIS Site Config'!$A$4:$AQ$51,3,FALSE)&lt;&gt;"Soft",
          IF(VLOOKUP(AQ$2,'TIS Site Config'!$A$3:$AQ$51,18,FALSE)="Combined",1,0),0)</f>
        <v>1</v>
      </c>
      <c r="AR59" s="136">
        <f>IF(VLOOKUP(AR$2,'TIS Site Config'!$A$4:$AQ$51,3,FALSE)&lt;&gt;"Soft",
          IF(VLOOKUP(AR$2,'TIS Site Config'!$A$3:$AQ$51,18,FALSE)="Combined",1,0),0)</f>
        <v>0</v>
      </c>
      <c r="AS59" s="21">
        <f>IF(VLOOKUP(AS$2,'TIS Site Config'!$A$4:$AQ$51,3,FALSE)&lt;&gt;"Soft",
          IF(VLOOKUP(AS$2,'TIS Site Config'!$A$3:$AQ$51,18,FALSE)="Combined",1,0),0)</f>
        <v>1</v>
      </c>
      <c r="AT59" s="136">
        <f>IF(VLOOKUP(AT$2,'TIS Site Config'!$A$4:$AQ$51,3,FALSE)&lt;&gt;"Soft",
          IF(VLOOKUP(AT$2,'TIS Site Config'!$A$3:$AQ$51,18,FALSE)="Combined",1,0),0)</f>
        <v>1</v>
      </c>
      <c r="AU59" s="21">
        <f>IF(VLOOKUP(AU$2,'TIS Site Config'!$A$4:$AQ$51,3,FALSE)&lt;&gt;"Soft",
          IF(VLOOKUP(AU$2,'TIS Site Config'!$A$3:$AQ$51,18,FALSE)="Combined",1,0),0)</f>
        <v>1</v>
      </c>
      <c r="AV59" s="136">
        <f>IF(VLOOKUP(AV$2,'TIS Site Config'!$A$4:$AQ$51,3,FALSE)&lt;&gt;"Soft",
          IF(VLOOKUP(AV$2,'TIS Site Config'!$A$3:$AQ$51,18,FALSE)="Combined",1,0),0)</f>
        <v>1</v>
      </c>
      <c r="AW59" s="136">
        <f>IF(VLOOKUP(AW$2,'TIS Site Config'!$A$4:$AQ$51,3,FALSE)&lt;&gt;"Soft",
          IF(VLOOKUP(AW$2,'TIS Site Config'!$A$3:$AQ$51,18,FALSE)="Combined",1,0),0)</f>
        <v>0</v>
      </c>
      <c r="AX59" s="222">
        <f>IF(VLOOKUP(AX$2,'TIS Site Config'!$A$4:$AQ$51,3,FALSE)&lt;&gt;"Soft",
          IF(VLOOKUP(AX$2,'TIS Site Config'!$A$3:$AQ$51,18,FALSE)="Combined",1,0),0)</f>
        <v>1</v>
      </c>
      <c r="AY59" s="136">
        <f>IF(VLOOKUP(AY$2,'TIS Site Config'!$A$4:$AQ$51,3,FALSE)&lt;&gt;"Soft",
          IF(VLOOKUP(AY$2,'TIS Site Config'!$A$3:$AQ$51,18,FALSE)="Combined",1,0),0)</f>
        <v>0</v>
      </c>
      <c r="AZ59" s="21">
        <f>IF(VLOOKUP(AZ$2,'TIS Site Config'!$A$4:$AQ$51,3,FALSE)&lt;&gt;"Soft",
          IF(VLOOKUP(AZ$2,'TIS Site Config'!$A$3:$AQ$51,18,FALSE)="Combined",1,0),0)</f>
        <v>0</v>
      </c>
      <c r="BA59" s="223">
        <f>IF(VLOOKUP(BA$2,'TIS Site Config'!$A$4:$AQ$51,3,FALSE)&lt;&gt;"Soft",
          IF(VLOOKUP(BA$2,'TIS Site Config'!$A$3:$AQ$51,18,FALSE)="Combined",1,0),0)</f>
        <v>1</v>
      </c>
      <c r="BB59" s="136">
        <f>IF(VLOOKUP(BB$2,'TIS Site Config'!$A$4:$AQ$51,3,FALSE)&lt;&gt;"Soft",
          IF(VLOOKUP(BB$2,'TIS Site Config'!$A$3:$AQ$51,18,FALSE)="Combined",1,0),0)</f>
        <v>0</v>
      </c>
      <c r="BC59" s="222">
        <f>IF(VLOOKUP(BC$2,'TIS Site Config'!$A$4:$AQ$51,3,FALSE)&lt;&gt;"Soft",
          IF(VLOOKUP(BC$2,'TIS Site Config'!$A$3:$AQ$51,18,FALSE)="Combined",1,0),0)</f>
        <v>1</v>
      </c>
      <c r="BD59" s="136">
        <f>IF(VLOOKUP(BD$2,'TIS Site Config'!$A$4:$AQ$51,3,FALSE)&lt;&gt;"Soft",
          IF(VLOOKUP(BD$2,'TIS Site Config'!$A$3:$AQ$51,18,FALSE)="Combined",1,0),0)</f>
        <v>1</v>
      </c>
      <c r="BE59" s="21">
        <f>IF(VLOOKUP(BE$2,'TIS Site Config'!$A$4:$AQ$51,3,FALSE)&lt;&gt;"Soft",
          IF(VLOOKUP(BE$2,'TIS Site Config'!$A$3:$AQ$51,18,FALSE)="Combined",1,0),0)</f>
        <v>1</v>
      </c>
      <c r="BF59" s="222">
        <f>IF(VLOOKUP(BF$2,'TIS Site Config'!$A$4:$AQ$51,3,FALSE)&lt;&gt;"Soft",
          IF(VLOOKUP(BF$2,'TIS Site Config'!$A$3:$AQ$51,18,FALSE)="Combined",1,0),0)</f>
        <v>1</v>
      </c>
      <c r="BG59" s="62">
        <f>IF(VLOOKUP(BG$2,'TIS Site Config'!$A$4:$AQ$51,3,FALSE)&lt;&gt;"Soft",
          IF(VLOOKUP(BG$2,'TIS Site Config'!$A$3:$AQ$51,18,FALSE)="Combined",1,0),0)</f>
        <v>1</v>
      </c>
      <c r="BH59" s="62">
        <f>IF(VLOOKUP(BH$2,'TIS Site Config'!$A$4:$AQ$51,3,FALSE)&lt;&gt;"Soft",
          IF(VLOOKUP(BH$2,'TIS Site Config'!$A$3:$AQ$51,18,FALSE)="Combined",1,0),0)</f>
        <v>0</v>
      </c>
      <c r="BK59" s="3">
        <v>27</v>
      </c>
      <c r="BL59" s="950" t="b">
        <f t="shared" si="4"/>
        <v>0</v>
      </c>
      <c r="BO59" s="950"/>
    </row>
    <row r="60" spans="1:67" ht="15.75" thickBot="1" x14ac:dyDescent="0.3">
      <c r="A60" s="1366"/>
      <c r="B60" s="1344"/>
      <c r="C60" s="70" t="s">
        <v>155</v>
      </c>
      <c r="D60" s="94">
        <v>2</v>
      </c>
      <c r="E60" s="110" t="s">
        <v>323</v>
      </c>
      <c r="F60" s="58">
        <f t="shared" si="1"/>
        <v>47</v>
      </c>
      <c r="G60" s="453"/>
      <c r="H60" s="454"/>
      <c r="I60" s="454">
        <v>1</v>
      </c>
      <c r="J60" s="454"/>
      <c r="K60" s="455"/>
      <c r="L60" s="492"/>
      <c r="M60" s="133">
        <f>1</f>
        <v>1</v>
      </c>
      <c r="N60" s="207">
        <f>1</f>
        <v>1</v>
      </c>
      <c r="O60" s="211">
        <f>1</f>
        <v>1</v>
      </c>
      <c r="P60" s="206">
        <f>1</f>
        <v>1</v>
      </c>
      <c r="Q60" s="207">
        <f>1</f>
        <v>1</v>
      </c>
      <c r="R60" s="133">
        <f>1</f>
        <v>1</v>
      </c>
      <c r="S60" s="206">
        <f>1</f>
        <v>1</v>
      </c>
      <c r="T60" s="207">
        <f>1</f>
        <v>1</v>
      </c>
      <c r="U60" s="133">
        <f>1</f>
        <v>1</v>
      </c>
      <c r="V60" s="207">
        <f>1</f>
        <v>1</v>
      </c>
      <c r="W60" s="210">
        <f>1</f>
        <v>1</v>
      </c>
      <c r="X60" s="206">
        <f>1</f>
        <v>1</v>
      </c>
      <c r="Y60" s="207">
        <f>1</f>
        <v>1</v>
      </c>
      <c r="Z60" s="133">
        <f>1</f>
        <v>1</v>
      </c>
      <c r="AA60" s="206">
        <f>1</f>
        <v>1</v>
      </c>
      <c r="AB60" s="207">
        <f>1</f>
        <v>1</v>
      </c>
      <c r="AC60" s="206">
        <f>1</f>
        <v>1</v>
      </c>
      <c r="AD60" s="208">
        <f>1</f>
        <v>1</v>
      </c>
      <c r="AE60" s="208">
        <f>1</f>
        <v>1</v>
      </c>
      <c r="AF60" s="209">
        <f>1</f>
        <v>1</v>
      </c>
      <c r="AG60" s="206">
        <f>1</f>
        <v>1</v>
      </c>
      <c r="AH60" s="207">
        <f>1</f>
        <v>1</v>
      </c>
      <c r="AI60" s="133">
        <f>1</f>
        <v>1</v>
      </c>
      <c r="AJ60" s="206">
        <f>1</f>
        <v>1</v>
      </c>
      <c r="AK60" s="207">
        <f>1</f>
        <v>1</v>
      </c>
      <c r="AL60" s="1011">
        <f>1</f>
        <v>1</v>
      </c>
      <c r="AM60" s="206">
        <f>1</f>
        <v>1</v>
      </c>
      <c r="AN60" s="207">
        <f>1</f>
        <v>1</v>
      </c>
      <c r="AO60" s="133">
        <f>1</f>
        <v>1</v>
      </c>
      <c r="AP60" s="206">
        <f>1</f>
        <v>1</v>
      </c>
      <c r="AQ60" s="133">
        <f>1</f>
        <v>1</v>
      </c>
      <c r="AR60" s="133">
        <f>1</f>
        <v>1</v>
      </c>
      <c r="AS60" s="206">
        <f>1</f>
        <v>1</v>
      </c>
      <c r="AT60" s="133">
        <f>1</f>
        <v>1</v>
      </c>
      <c r="AU60" s="206">
        <f>1</f>
        <v>1</v>
      </c>
      <c r="AV60" s="133">
        <f>1</f>
        <v>1</v>
      </c>
      <c r="AW60" s="133">
        <f>1</f>
        <v>1</v>
      </c>
      <c r="AX60" s="207">
        <f>1</f>
        <v>1</v>
      </c>
      <c r="AY60" s="133">
        <f>1</f>
        <v>1</v>
      </c>
      <c r="AZ60" s="206">
        <f>1</f>
        <v>1</v>
      </c>
      <c r="BA60" s="208">
        <f>1</f>
        <v>1</v>
      </c>
      <c r="BB60" s="133">
        <f>1</f>
        <v>1</v>
      </c>
      <c r="BC60" s="207">
        <f>1</f>
        <v>1</v>
      </c>
      <c r="BD60" s="133">
        <f>1</f>
        <v>1</v>
      </c>
      <c r="BE60" s="206">
        <f>1</f>
        <v>1</v>
      </c>
      <c r="BF60" s="207">
        <f>1</f>
        <v>1</v>
      </c>
      <c r="BG60" s="58">
        <f>1</f>
        <v>1</v>
      </c>
      <c r="BH60" s="58">
        <f>1</f>
        <v>1</v>
      </c>
      <c r="BK60" s="3">
        <v>60</v>
      </c>
      <c r="BL60" s="950" t="b">
        <f t="shared" si="4"/>
        <v>0</v>
      </c>
      <c r="BO60" s="950"/>
    </row>
    <row r="61" spans="1:67" ht="15.75" thickTop="1" x14ac:dyDescent="0.25">
      <c r="A61" s="1366"/>
      <c r="B61" s="1332" t="s">
        <v>30</v>
      </c>
      <c r="C61" s="72" t="s">
        <v>156</v>
      </c>
      <c r="D61" s="95">
        <v>1</v>
      </c>
      <c r="E61" s="111" t="s">
        <v>276</v>
      </c>
      <c r="F61" s="65">
        <f t="shared" si="1"/>
        <v>18</v>
      </c>
      <c r="G61" s="447"/>
      <c r="H61" s="448"/>
      <c r="I61" s="448">
        <v>1</v>
      </c>
      <c r="J61" s="448"/>
      <c r="K61" s="449"/>
      <c r="L61" s="490"/>
      <c r="M61" s="139">
        <f>IF(VLOOKUP(M$2,'TIS Site Config'!$A$4:$AQ$51,3,FALSE)&lt;&gt;"Soft",
          IF(
             AND(VLOOKUP(M$2,'TIS Site Config'!$A$3:$AQ$51,18,FALSE)="Split",
                        VLOOKUP(M$2,'TIS Site Config'!$A$3:$AQ$51,6,FALSE)="Non-heated"),
                             (VLOOKUP(M$2,'TIS Site Config'!$A$3:$AQ$51,17,FALSE)-2),0),0)</f>
        <v>0</v>
      </c>
      <c r="N61" s="240">
        <f>IF(VLOOKUP(N$2,'TIS Site Config'!$A$4:$AQ$51,3,FALSE)&lt;&gt;"Soft",
          IF(
             AND(VLOOKUP(N$2,'TIS Site Config'!$A$3:$AQ$51,18,FALSE)="Split",
                        VLOOKUP(N$2,'TIS Site Config'!$A$3:$AQ$51,6,FALSE)="Non-heated"),
                             (VLOOKUP(N$2,'TIS Site Config'!$A$3:$AQ$51,17,FALSE)-2),0),0)</f>
        <v>0</v>
      </c>
      <c r="O61" s="244">
        <f>IF(VLOOKUP(O$2,'TIS Site Config'!$A$4:$AQ$51,3,FALSE)&lt;&gt;"Soft",
          IF(
             AND(VLOOKUP(O$2,'TIS Site Config'!$A$3:$AQ$51,18,FALSE)="Split",
                        VLOOKUP(O$2,'TIS Site Config'!$A$3:$AQ$51,6,FALSE)="Non-heated"),
                             (VLOOKUP(O$2,'TIS Site Config'!$A$3:$AQ$51,17,FALSE)-2),0),0)</f>
        <v>0</v>
      </c>
      <c r="P61" s="239">
        <f>IF(VLOOKUP(P$2,'TIS Site Config'!$A$4:$AQ$51,3,FALSE)&lt;&gt;"Soft",
          IF(
             AND(VLOOKUP(P$2,'TIS Site Config'!$A$3:$AQ$51,18,FALSE)="Split",
                        VLOOKUP(P$2,'TIS Site Config'!$A$3:$AQ$51,6,FALSE)="Non-heated"),
                             (VLOOKUP(P$2,'TIS Site Config'!$A$3:$AQ$51,17,FALSE)-2),0),0)</f>
        <v>0</v>
      </c>
      <c r="Q61" s="240">
        <f>IF(VLOOKUP(Q$2,'TIS Site Config'!$A$4:$AQ$51,3,FALSE)&lt;&gt;"Soft",
          IF(
             AND(VLOOKUP(Q$2,'TIS Site Config'!$A$3:$AQ$51,18,FALSE)="Split",
                        VLOOKUP(Q$2,'TIS Site Config'!$A$3:$AQ$51,6,FALSE)="Non-heated"),
                             (VLOOKUP(Q$2,'TIS Site Config'!$A$3:$AQ$51,17,FALSE)-2),0),0)</f>
        <v>0</v>
      </c>
      <c r="R61" s="139">
        <f>IF(VLOOKUP(R$2,'TIS Site Config'!$A$4:$AQ$51,3,FALSE)&lt;&gt;"Soft",
          IF(
             AND(VLOOKUP(R$2,'TIS Site Config'!$A$3:$AQ$51,18,FALSE)="Split",
                        VLOOKUP(R$2,'TIS Site Config'!$A$3:$AQ$51,6,FALSE)="Non-heated"),
                             (VLOOKUP(R$2,'TIS Site Config'!$A$3:$AQ$51,17,FALSE)-2),0),0)</f>
        <v>0</v>
      </c>
      <c r="S61" s="239">
        <f>IF(VLOOKUP(S$2,'TIS Site Config'!$A$4:$AQ$51,3,FALSE)&lt;&gt;"Soft",
          IF(
             AND(VLOOKUP(S$2,'TIS Site Config'!$A$3:$AQ$51,18,FALSE)="Split",
                        VLOOKUP(S$2,'TIS Site Config'!$A$3:$AQ$51,6,FALSE)="Non-heated"),
                             (VLOOKUP(S$2,'TIS Site Config'!$A$3:$AQ$51,17,FALSE)-2),0),0)</f>
        <v>2</v>
      </c>
      <c r="T61" s="240">
        <f>IF(VLOOKUP(T$2,'TIS Site Config'!$A$4:$AQ$51,3,FALSE)&lt;&gt;"Soft",
          IF(
             AND(VLOOKUP(T$2,'TIS Site Config'!$A$3:$AQ$51,18,FALSE)="Split",
                        VLOOKUP(T$2,'TIS Site Config'!$A$3:$AQ$51,6,FALSE)="Non-heated"),
                             (VLOOKUP(T$2,'TIS Site Config'!$A$3:$AQ$51,17,FALSE)-2),0),0)</f>
        <v>4</v>
      </c>
      <c r="U61" s="139">
        <f>IF(VLOOKUP(U$2,'TIS Site Config'!$A$4:$AQ$51,3,FALSE)&lt;&gt;"Soft",
          IF(
             AND(VLOOKUP(U$2,'TIS Site Config'!$A$3:$AQ$51,18,FALSE)="Split",
                        VLOOKUP(U$2,'TIS Site Config'!$A$3:$AQ$51,6,FALSE)="Non-heated"),
                             (VLOOKUP(U$2,'TIS Site Config'!$A$3:$AQ$51,17,FALSE)-2),0),0)</f>
        <v>3</v>
      </c>
      <c r="V61" s="240">
        <f>IF(VLOOKUP(V$2,'TIS Site Config'!$A$4:$AQ$51,3,FALSE)&lt;&gt;"Soft",
          IF(
             AND(VLOOKUP(V$2,'TIS Site Config'!$A$3:$AQ$51,18,FALSE)="Split",
                        VLOOKUP(V$2,'TIS Site Config'!$A$3:$AQ$51,6,FALSE)="Non-heated"),
                             (VLOOKUP(V$2,'TIS Site Config'!$A$3:$AQ$51,17,FALSE)-2),0),0)</f>
        <v>2</v>
      </c>
      <c r="W61" s="243">
        <f>IF(VLOOKUP(W$2,'TIS Site Config'!$A$4:$AQ$51,3,FALSE)&lt;&gt;"Soft",
          IF(
             AND(VLOOKUP(W$2,'TIS Site Config'!$A$3:$AQ$51,18,FALSE)="Split",
                        VLOOKUP(W$2,'TIS Site Config'!$A$3:$AQ$51,6,FALSE)="Non-heated"),
                             (VLOOKUP(W$2,'TIS Site Config'!$A$3:$AQ$51,17,FALSE)-2),0),0)</f>
        <v>0</v>
      </c>
      <c r="X61" s="239">
        <f>IF(VLOOKUP(X$2,'TIS Site Config'!$A$4:$AQ$51,3,FALSE)&lt;&gt;"Soft",
          IF(
             AND(VLOOKUP(X$2,'TIS Site Config'!$A$3:$AQ$51,18,FALSE)="Split",
                        VLOOKUP(X$2,'TIS Site Config'!$A$3:$AQ$51,6,FALSE)="Non-heated"),
                             (VLOOKUP(X$2,'TIS Site Config'!$A$3:$AQ$51,17,FALSE)-2),0),0)</f>
        <v>0</v>
      </c>
      <c r="Y61" s="240">
        <f>IF(VLOOKUP(Y$2,'TIS Site Config'!$A$4:$AQ$51,3,FALSE)&lt;&gt;"Soft",
          IF(
             AND(VLOOKUP(Y$2,'TIS Site Config'!$A$3:$AQ$51,18,FALSE)="Split",
                        VLOOKUP(Y$2,'TIS Site Config'!$A$3:$AQ$51,6,FALSE)="Non-heated"),
                             (VLOOKUP(Y$2,'TIS Site Config'!$A$3:$AQ$51,17,FALSE)-2),0),0)</f>
        <v>0</v>
      </c>
      <c r="Z61" s="139">
        <f>IF(VLOOKUP(Z$2,'TIS Site Config'!$A$4:$AQ$51,3,FALSE)&lt;&gt;"Soft",
          IF(
             AND(VLOOKUP(Z$2,'TIS Site Config'!$A$3:$AQ$51,18,FALSE)="Split",
                        VLOOKUP(Z$2,'TIS Site Config'!$A$3:$AQ$51,6,FALSE)="Non-heated"),
                             (VLOOKUP(Z$2,'TIS Site Config'!$A$3:$AQ$51,17,FALSE)-2),0),0)</f>
        <v>0</v>
      </c>
      <c r="AA61" s="239">
        <f>IF(VLOOKUP(AA$2,'TIS Site Config'!$A$4:$AQ$51,3,FALSE)&lt;&gt;"Soft",
          IF(
             AND(VLOOKUP(AA$2,'TIS Site Config'!$A$3:$AQ$51,18,FALSE)="Split",
                        VLOOKUP(AA$2,'TIS Site Config'!$A$3:$AQ$51,6,FALSE)="Non-heated"),
                             (VLOOKUP(AA$2,'TIS Site Config'!$A$3:$AQ$51,17,FALSE)-2),0),0)</f>
        <v>0</v>
      </c>
      <c r="AB61" s="240">
        <f>IF(VLOOKUP(AB$2,'TIS Site Config'!$A$4:$AQ$51,3,FALSE)&lt;&gt;"Soft",
          IF(
             AND(VLOOKUP(AB$2,'TIS Site Config'!$A$3:$AQ$51,18,FALSE)="Split",
                        VLOOKUP(AB$2,'TIS Site Config'!$A$3:$AQ$51,6,FALSE)="Non-heated"),
                             (VLOOKUP(AB$2,'TIS Site Config'!$A$3:$AQ$51,17,FALSE)-2),0),0)</f>
        <v>0</v>
      </c>
      <c r="AC61" s="239">
        <f>IF(VLOOKUP(AC$2,'TIS Site Config'!$A$4:$AQ$51,3,FALSE)&lt;&gt;"Soft",
          IF(
             AND(VLOOKUP(AC$2,'TIS Site Config'!$A$3:$AQ$51,18,FALSE)="Split",
                        VLOOKUP(AC$2,'TIS Site Config'!$A$3:$AQ$51,6,FALSE)="Non-heated"),
                             (VLOOKUP(AC$2,'TIS Site Config'!$A$3:$AQ$51,17,FALSE)-2),0),0)</f>
        <v>0</v>
      </c>
      <c r="AD61" s="241">
        <f>IF(VLOOKUP(AD$2,'TIS Site Config'!$A$4:$AQ$51,3,FALSE)&lt;&gt;"Soft",
          IF(
             AND(VLOOKUP(AD$2,'TIS Site Config'!$A$3:$AQ$51,18,FALSE)="Split",
                        VLOOKUP(AD$2,'TIS Site Config'!$A$3:$AQ$51,6,FALSE)="Non-heated"),
                             (VLOOKUP(AD$2,'TIS Site Config'!$A$3:$AQ$51,17,FALSE)-2),0),0)</f>
        <v>0</v>
      </c>
      <c r="AE61" s="241">
        <f>IF(VLOOKUP(AE$2,'TIS Site Config'!$A$4:$AQ$51,3,FALSE)&lt;&gt;"Soft",
          IF(
             AND(VLOOKUP(AE$2,'TIS Site Config'!$A$3:$AQ$51,18,FALSE)="Split",
                        VLOOKUP(AE$2,'TIS Site Config'!$A$3:$AQ$51,6,FALSE)="Non-heated"),
                             (VLOOKUP(AE$2,'TIS Site Config'!$A$3:$AQ$51,17,FALSE)-2),0),0)</f>
        <v>0</v>
      </c>
      <c r="AF61" s="242">
        <f>IF(VLOOKUP(AF$2,'TIS Site Config'!$A$4:$AQ$51,3,FALSE)&lt;&gt;"Soft",
          IF(
             AND(VLOOKUP(AF$2,'TIS Site Config'!$A$3:$AQ$51,18,FALSE)="Split",
                        VLOOKUP(AF$2,'TIS Site Config'!$A$3:$AQ$51,6,FALSE)="Non-heated"),
                             (VLOOKUP(AF$2,'TIS Site Config'!$A$3:$AQ$51,17,FALSE)-2),0),0)</f>
        <v>3</v>
      </c>
      <c r="AG61" s="239">
        <f>IF(VLOOKUP(AG$2,'TIS Site Config'!$A$4:$AQ$51,3,FALSE)&lt;&gt;"Soft",
          IF(
             AND(VLOOKUP(AG$2,'TIS Site Config'!$A$3:$AQ$51,18,FALSE)="Split",
                        VLOOKUP(AG$2,'TIS Site Config'!$A$3:$AQ$51,6,FALSE)="Non-heated"),
                             (VLOOKUP(AG$2,'TIS Site Config'!$A$3:$AQ$51,17,FALSE)-2),0),0)</f>
        <v>0</v>
      </c>
      <c r="AH61" s="240">
        <f>IF(VLOOKUP(AH$2,'TIS Site Config'!$A$4:$AQ$51,3,FALSE)&lt;&gt;"Soft",
          IF(
             AND(VLOOKUP(AH$2,'TIS Site Config'!$A$3:$AQ$51,18,FALSE)="Split",
                        VLOOKUP(AH$2,'TIS Site Config'!$A$3:$AQ$51,6,FALSE)="Non-heated"),
                             (VLOOKUP(AH$2,'TIS Site Config'!$A$3:$AQ$51,17,FALSE)-2),0),0)</f>
        <v>4</v>
      </c>
      <c r="AI61" s="139">
        <f>IF(VLOOKUP(AI$2,'TIS Site Config'!$A$4:$AQ$51,3,FALSE)&lt;&gt;"Soft",
          IF(
             AND(VLOOKUP(AI$2,'TIS Site Config'!$A$3:$AQ$51,18,FALSE)="Split",
                        VLOOKUP(AI$2,'TIS Site Config'!$A$3:$AQ$51,6,FALSE)="Non-heated"),
                             (VLOOKUP(AI$2,'TIS Site Config'!$A$3:$AQ$51,17,FALSE)-2),0),0)</f>
        <v>0</v>
      </c>
      <c r="AJ61" s="239">
        <f>IF(VLOOKUP(AJ$2,'TIS Site Config'!$A$4:$AQ$51,3,FALSE)&lt;&gt;"Soft",
          IF(
             AND(VLOOKUP(AJ$2,'TIS Site Config'!$A$3:$AQ$51,18,FALSE)="Split",
                        VLOOKUP(AJ$2,'TIS Site Config'!$A$3:$AQ$51,6,FALSE)="Non-heated"),
                             (VLOOKUP(AJ$2,'TIS Site Config'!$A$3:$AQ$51,17,FALSE)-2),0),0)</f>
        <v>0</v>
      </c>
      <c r="AK61" s="240">
        <f>IF(VLOOKUP(AK$2,'TIS Site Config'!$A$4:$AQ$51,3,FALSE)&lt;&gt;"Soft",
          IF(
             AND(VLOOKUP(AK$2,'TIS Site Config'!$A$3:$AQ$51,18,FALSE)="Split",
                        VLOOKUP(AK$2,'TIS Site Config'!$A$3:$AQ$51,6,FALSE)="Non-heated"),
                             (VLOOKUP(AK$2,'TIS Site Config'!$A$3:$AQ$51,17,FALSE)-2),0),0)</f>
        <v>0</v>
      </c>
      <c r="AL61" s="139">
        <f>IF(VLOOKUP(AL$2,'TIS Site Config'!$A$4:$AQ$51,3,FALSE)&lt;&gt;"Soft",
          IF(
             AND(VLOOKUP(AL$2,'TIS Site Config'!$A$3:$AQ$51,18,FALSE)="Split",
                        VLOOKUP(AL$2,'TIS Site Config'!$A$3:$AQ$51,6,FALSE)="Non-heated"),
                             (VLOOKUP(AL$2,'TIS Site Config'!$A$3:$AQ$51,17,FALSE)-2),0),0)</f>
        <v>0</v>
      </c>
      <c r="AM61" s="239">
        <f>IF(VLOOKUP(AM$2,'TIS Site Config'!$A$4:$AQ$51,3,FALSE)&lt;&gt;"Soft",
          IF(
             AND(VLOOKUP(AM$2,'TIS Site Config'!$A$3:$AQ$51,18,FALSE)="Split",
                        VLOOKUP(AM$2,'TIS Site Config'!$A$3:$AQ$51,6,FALSE)="Non-heated"),
                             (VLOOKUP(AM$2,'TIS Site Config'!$A$3:$AQ$51,17,FALSE)-2),0),0)</f>
        <v>0</v>
      </c>
      <c r="AN61" s="240">
        <f>IF(VLOOKUP(AN$2,'TIS Site Config'!$A$4:$AQ$51,3,FALSE)&lt;&gt;"Soft",
          IF(
             AND(VLOOKUP(AN$2,'TIS Site Config'!$A$3:$AQ$51,18,FALSE)="Split",
                        VLOOKUP(AN$2,'TIS Site Config'!$A$3:$AQ$51,6,FALSE)="Non-heated"),
                             (VLOOKUP(AN$2,'TIS Site Config'!$A$3:$AQ$51,17,FALSE)-2),0),0)</f>
        <v>0</v>
      </c>
      <c r="AO61" s="139">
        <f>IF(VLOOKUP(AO$2,'TIS Site Config'!$A$4:$AQ$51,3,FALSE)&lt;&gt;"Soft",
          IF(
             AND(VLOOKUP(AO$2,'TIS Site Config'!$A$3:$AQ$51,18,FALSE)="Split",
                        VLOOKUP(AO$2,'TIS Site Config'!$A$3:$AQ$51,6,FALSE)="Non-heated"),
                             (VLOOKUP(AO$2,'TIS Site Config'!$A$3:$AQ$51,17,FALSE)-2),0),0)</f>
        <v>0</v>
      </c>
      <c r="AP61" s="239">
        <f>IF(VLOOKUP(AP$2,'TIS Site Config'!$A$4:$AQ$51,3,FALSE)&lt;&gt;"Soft",
          IF(
             AND(VLOOKUP(AP$2,'TIS Site Config'!$A$3:$AQ$51,18,FALSE)="Split",
                        VLOOKUP(AP$2,'TIS Site Config'!$A$3:$AQ$51,6,FALSE)="Non-heated"),
                             (VLOOKUP(AP$2,'TIS Site Config'!$A$3:$AQ$51,17,FALSE)-2),0),0)</f>
        <v>0</v>
      </c>
      <c r="AQ61" s="139">
        <f>IF(VLOOKUP(AQ$2,'TIS Site Config'!$A$4:$AQ$51,3,FALSE)&lt;&gt;"Soft",
          IF(
             AND(VLOOKUP(AQ$2,'TIS Site Config'!$A$3:$AQ$51,18,FALSE)="Split",
                        VLOOKUP(AQ$2,'TIS Site Config'!$A$3:$AQ$51,6,FALSE)="Non-heated"),
                             (VLOOKUP(AQ$2,'TIS Site Config'!$A$3:$AQ$51,17,FALSE)-2),0),0)</f>
        <v>0</v>
      </c>
      <c r="AR61" s="139">
        <f>IF(VLOOKUP(AR$2,'TIS Site Config'!$A$4:$AQ$51,3,FALSE)&lt;&gt;"Soft",
          IF(
             AND(VLOOKUP(AR$2,'TIS Site Config'!$A$3:$AQ$51,18,FALSE)="Split",
                        VLOOKUP(AR$2,'TIS Site Config'!$A$3:$AQ$51,6,FALSE)="Non-heated"),
                             (VLOOKUP(AR$2,'TIS Site Config'!$A$3:$AQ$51,17,FALSE)-2),0),0)</f>
        <v>0</v>
      </c>
      <c r="AS61" s="239">
        <f>IF(VLOOKUP(AS$2,'TIS Site Config'!$A$4:$AQ$51,3,FALSE)&lt;&gt;"Soft",
          IF(
             AND(VLOOKUP(AS$2,'TIS Site Config'!$A$3:$AQ$51,18,FALSE)="Split",
                        VLOOKUP(AS$2,'TIS Site Config'!$A$3:$AQ$51,6,FALSE)="Non-heated"),
                             (VLOOKUP(AS$2,'TIS Site Config'!$A$3:$AQ$51,17,FALSE)-2),0),0)</f>
        <v>0</v>
      </c>
      <c r="AT61" s="139">
        <f>IF(VLOOKUP(AT$2,'TIS Site Config'!$A$4:$AQ$51,3,FALSE)&lt;&gt;"Soft",
          IF(
             AND(VLOOKUP(AT$2,'TIS Site Config'!$A$3:$AQ$51,18,FALSE)="Split",
                        VLOOKUP(AT$2,'TIS Site Config'!$A$3:$AQ$51,6,FALSE)="Non-heated"),
                             (VLOOKUP(AT$2,'TIS Site Config'!$A$3:$AQ$51,17,FALSE)-2),0),0)</f>
        <v>0</v>
      </c>
      <c r="AU61" s="239">
        <f>IF(VLOOKUP(AU$2,'TIS Site Config'!$A$4:$AQ$51,3,FALSE)&lt;&gt;"Soft",
          IF(
             AND(VLOOKUP(AU$2,'TIS Site Config'!$A$3:$AQ$51,18,FALSE)="Split",
                        VLOOKUP(AU$2,'TIS Site Config'!$A$3:$AQ$51,6,FALSE)="Non-heated"),
                             (VLOOKUP(AU$2,'TIS Site Config'!$A$3:$AQ$51,17,FALSE)-2),0),0)</f>
        <v>0</v>
      </c>
      <c r="AV61" s="139">
        <f>IF(VLOOKUP(AV$2,'TIS Site Config'!$A$4:$AQ$51,3,FALSE)&lt;&gt;"Soft",
          IF(
             AND(VLOOKUP(AV$2,'TIS Site Config'!$A$3:$AQ$51,18,FALSE)="Split",
                        VLOOKUP(AV$2,'TIS Site Config'!$A$3:$AQ$51,6,FALSE)="Non-heated"),
                             (VLOOKUP(AV$2,'TIS Site Config'!$A$3:$AQ$51,17,FALSE)-2),0),0)</f>
        <v>0</v>
      </c>
      <c r="AW61" s="139">
        <f>IF(VLOOKUP(AW$2,'TIS Site Config'!$A$4:$AQ$51,3,FALSE)&lt;&gt;"Soft",
          IF(
             AND(VLOOKUP(AW$2,'TIS Site Config'!$A$3:$AQ$51,18,FALSE)="Split",
                        VLOOKUP(AW$2,'TIS Site Config'!$A$3:$AQ$51,6,FALSE)="Non-heated"),
                             (VLOOKUP(AW$2,'TIS Site Config'!$A$3:$AQ$51,17,FALSE)-2),0),0)</f>
        <v>0</v>
      </c>
      <c r="AX61" s="240">
        <f>IF(VLOOKUP(AX$2,'TIS Site Config'!$A$4:$AQ$51,3,FALSE)&lt;&gt;"Soft",
          IF(
             AND(VLOOKUP(AX$2,'TIS Site Config'!$A$3:$AQ$51,18,FALSE)="Split",
                        VLOOKUP(AX$2,'TIS Site Config'!$A$3:$AQ$51,6,FALSE)="Non-heated"),
                             (VLOOKUP(AX$2,'TIS Site Config'!$A$3:$AQ$51,17,FALSE)-2),0),0)</f>
        <v>0</v>
      </c>
      <c r="AY61" s="139">
        <f>IF(VLOOKUP(AY$2,'TIS Site Config'!$A$4:$AQ$51,3,FALSE)&lt;&gt;"Soft",
          IF(
             AND(VLOOKUP(AY$2,'TIS Site Config'!$A$3:$AQ$51,18,FALSE)="Split",
                        VLOOKUP(AY$2,'TIS Site Config'!$A$3:$AQ$51,6,FALSE)="Non-heated"),
                             (VLOOKUP(AY$2,'TIS Site Config'!$A$3:$AQ$51,17,FALSE)-2),0),0)</f>
        <v>0</v>
      </c>
      <c r="AZ61" s="239">
        <f>IF(VLOOKUP(AZ$2,'TIS Site Config'!$A$4:$AQ$51,3,FALSE)&lt;&gt;"Soft",
          IF(
             AND(VLOOKUP(AZ$2,'TIS Site Config'!$A$3:$AQ$51,18,FALSE)="Split",
                        VLOOKUP(AZ$2,'TIS Site Config'!$A$3:$AQ$51,6,FALSE)="Non-heated"),
                             (VLOOKUP(AZ$2,'TIS Site Config'!$A$3:$AQ$51,17,FALSE)-2),0),0)</f>
        <v>0</v>
      </c>
      <c r="BA61" s="241">
        <f>IF(VLOOKUP(BA$2,'TIS Site Config'!$A$4:$AQ$51,3,FALSE)&lt;&gt;"Soft",
          IF(
             AND(VLOOKUP(BA$2,'TIS Site Config'!$A$3:$AQ$51,18,FALSE)="Split",
                        VLOOKUP(BA$2,'TIS Site Config'!$A$3:$AQ$51,6,FALSE)="Non-heated"),
                             (VLOOKUP(BA$2,'TIS Site Config'!$A$3:$AQ$51,17,FALSE)-2),0),0)</f>
        <v>0</v>
      </c>
      <c r="BB61" s="139">
        <f>IF(VLOOKUP(BB$2,'TIS Site Config'!$A$4:$AQ$51,3,FALSE)&lt;&gt;"Soft",
          IF(
             AND(VLOOKUP(BB$2,'TIS Site Config'!$A$3:$AQ$51,18,FALSE)="Split",
                        VLOOKUP(BB$2,'TIS Site Config'!$A$3:$AQ$51,6,FALSE)="Non-heated"),
                             (VLOOKUP(BB$2,'TIS Site Config'!$A$3:$AQ$51,17,FALSE)-2),0),0)</f>
        <v>0</v>
      </c>
      <c r="BC61" s="240">
        <f>IF(VLOOKUP(BC$2,'TIS Site Config'!$A$4:$AQ$51,3,FALSE)&lt;&gt;"Soft",
          IF(
             AND(VLOOKUP(BC$2,'TIS Site Config'!$A$3:$AQ$51,18,FALSE)="Split",
                        VLOOKUP(BC$2,'TIS Site Config'!$A$3:$AQ$51,6,FALSE)="Non-heated"),
                             (VLOOKUP(BC$2,'TIS Site Config'!$A$3:$AQ$51,17,FALSE)-2),0),0)</f>
        <v>0</v>
      </c>
      <c r="BD61" s="139">
        <f>IF(VLOOKUP(BD$2,'TIS Site Config'!$A$4:$AQ$51,3,FALSE)&lt;&gt;"Soft",
          IF(
             AND(VLOOKUP(BD$2,'TIS Site Config'!$A$3:$AQ$51,18,FALSE)="Split",
                        VLOOKUP(BD$2,'TIS Site Config'!$A$3:$AQ$51,6,FALSE)="Non-heated"),
                             (VLOOKUP(BD$2,'TIS Site Config'!$A$3:$AQ$51,17,FALSE)-2),0),0)</f>
        <v>0</v>
      </c>
      <c r="BE61" s="239">
        <f>IF(VLOOKUP(BE$2,'TIS Site Config'!$A$4:$AQ$51,3,FALSE)&lt;&gt;"Soft",
          IF(
             AND(VLOOKUP(BE$2,'TIS Site Config'!$A$3:$AQ$51,18,FALSE)="Split",
                        VLOOKUP(BE$2,'TIS Site Config'!$A$3:$AQ$51,6,FALSE)="Non-heated"),
                             (VLOOKUP(BE$2,'TIS Site Config'!$A$3:$AQ$51,17,FALSE)-2),0),0)</f>
        <v>0</v>
      </c>
      <c r="BF61" s="240">
        <f>IF(VLOOKUP(BF$2,'TIS Site Config'!$A$4:$AQ$51,3,FALSE)&lt;&gt;"Soft",
          IF(
             AND(VLOOKUP(BF$2,'TIS Site Config'!$A$3:$AQ$51,18,FALSE)="Split",
                        VLOOKUP(BF$2,'TIS Site Config'!$A$3:$AQ$51,6,FALSE)="Non-heated"),
                             (VLOOKUP(BF$2,'TIS Site Config'!$A$3:$AQ$51,17,FALSE)-2),0),0)</f>
        <v>0</v>
      </c>
      <c r="BG61" s="65">
        <f>IF(VLOOKUP(BG$2,'TIS Site Config'!$A$4:$AQ$51,3,FALSE)&lt;&gt;"Soft",
          IF(
             AND(VLOOKUP(BG$2,'TIS Site Config'!$A$3:$AQ$51,18,FALSE)="Split",
                        VLOOKUP(BG$2,'TIS Site Config'!$A$3:$AQ$51,6,FALSE)="Non-heated"),
                             (VLOOKUP(BG$2,'TIS Site Config'!$A$3:$AQ$51,17,FALSE)-2),0),0)</f>
        <v>0</v>
      </c>
      <c r="BH61" s="65">
        <f>IF(VLOOKUP(BH$2,'TIS Site Config'!$A$4:$AQ$51,3,FALSE)&lt;&gt;"Soft",
          IF(
             AND(VLOOKUP(BH$2,'TIS Site Config'!$A$3:$AQ$51,18,FALSE)="Split",
                        VLOOKUP(BH$2,'TIS Site Config'!$A$3:$AQ$51,6,FALSE)="Non-heated"),
                             (VLOOKUP(BH$2,'TIS Site Config'!$A$3:$AQ$51,17,FALSE)-2),0),0)</f>
        <v>0</v>
      </c>
      <c r="BK61" s="3">
        <v>24</v>
      </c>
      <c r="BL61" s="950" t="b">
        <f t="shared" si="4"/>
        <v>0</v>
      </c>
      <c r="BO61" s="950"/>
    </row>
    <row r="62" spans="1:67" x14ac:dyDescent="0.25">
      <c r="A62" s="1366"/>
      <c r="B62" s="1333"/>
      <c r="C62" s="69" t="s">
        <v>157</v>
      </c>
      <c r="D62" s="91">
        <v>1</v>
      </c>
      <c r="E62" s="85" t="s">
        <v>307</v>
      </c>
      <c r="F62" s="62">
        <f t="shared" si="1"/>
        <v>47</v>
      </c>
      <c r="G62" s="450"/>
      <c r="H62" s="451"/>
      <c r="I62" s="451">
        <v>1</v>
      </c>
      <c r="J62" s="451"/>
      <c r="K62" s="452"/>
      <c r="L62" s="491"/>
      <c r="M62" s="136">
        <f>IF(VLOOKUP(M$2,'TIS Site Config'!$A$4:$AQ$51,3,FALSE)&lt;&gt;"Soft",
          IF(
             AND(VLOOKUP(M$2,'TIS Site Config'!$A$3:$AQ$51,18,FALSE)="Split",
                        VLOOKUP(M$2,'TIS Site Config'!$A$3:$AQ$51,6,FALSE)="Heated"),
                             (VLOOKUP(M$2,'TIS Site Config'!$A$3:$AQ$51,17,FALSE)-2),0),0)</f>
        <v>4</v>
      </c>
      <c r="N62" s="222">
        <f>IF(VLOOKUP(N$2,'TIS Site Config'!$A$4:$AQ$51,3,FALSE)&lt;&gt;"Soft",
          IF(
             AND(VLOOKUP(N$2,'TIS Site Config'!$A$3:$AQ$51,18,FALSE)="Split",
                        VLOOKUP(N$2,'TIS Site Config'!$A$3:$AQ$51,6,FALSE)="Heated"),
                             (VLOOKUP(N$2,'TIS Site Config'!$A$3:$AQ$51,17,FALSE)-2),0),0)</f>
        <v>0</v>
      </c>
      <c r="O62" s="225">
        <f>IF(VLOOKUP(O$2,'TIS Site Config'!$A$4:$AQ$51,3,FALSE)&lt;&gt;"Soft",
          IF(
             AND(VLOOKUP(O$2,'TIS Site Config'!$A$3:$AQ$51,18,FALSE)="Split",
                        VLOOKUP(O$2,'TIS Site Config'!$A$3:$AQ$51,6,FALSE)="Heated"),
                             (VLOOKUP(O$2,'TIS Site Config'!$A$3:$AQ$51,17,FALSE)-2),0),0)</f>
        <v>4</v>
      </c>
      <c r="P62" s="21">
        <f>IF(VLOOKUP(P$2,'TIS Site Config'!$A$4:$AQ$51,3,FALSE)&lt;&gt;"Soft",
          IF(
             AND(VLOOKUP(P$2,'TIS Site Config'!$A$3:$AQ$51,18,FALSE)="Split",
                        VLOOKUP(P$2,'TIS Site Config'!$A$3:$AQ$51,6,FALSE)="Heated"),
                             (VLOOKUP(P$2,'TIS Site Config'!$A$3:$AQ$51,17,FALSE)-2),0),0)</f>
        <v>0</v>
      </c>
      <c r="Q62" s="222">
        <f>IF(VLOOKUP(Q$2,'TIS Site Config'!$A$4:$AQ$51,3,FALSE)&lt;&gt;"Soft",
          IF(
             AND(VLOOKUP(Q$2,'TIS Site Config'!$A$3:$AQ$51,18,FALSE)="Split",
                        VLOOKUP(Q$2,'TIS Site Config'!$A$3:$AQ$51,6,FALSE)="Heated"),
                             (VLOOKUP(Q$2,'TIS Site Config'!$A$3:$AQ$51,17,FALSE)-2),0),0)</f>
        <v>0</v>
      </c>
      <c r="R62" s="136">
        <f>IF(VLOOKUP(R$2,'TIS Site Config'!$A$4:$AQ$51,3,FALSE)&lt;&gt;"Soft",
          IF(
             AND(VLOOKUP(R$2,'TIS Site Config'!$A$3:$AQ$51,18,FALSE)="Split",
                        VLOOKUP(R$2,'TIS Site Config'!$A$3:$AQ$51,6,FALSE)="Heated"),
                             (VLOOKUP(R$2,'TIS Site Config'!$A$3:$AQ$51,17,FALSE)-2),0),0)</f>
        <v>0</v>
      </c>
      <c r="S62" s="21">
        <f>IF(VLOOKUP(S$2,'TIS Site Config'!$A$4:$AQ$51,3,FALSE)&lt;&gt;"Soft",
          IF(
             AND(VLOOKUP(S$2,'TIS Site Config'!$A$3:$AQ$51,18,FALSE)="Split",
                        VLOOKUP(S$2,'TIS Site Config'!$A$3:$AQ$51,6,FALSE)="Heated"),
                             (VLOOKUP(S$2,'TIS Site Config'!$A$3:$AQ$51,17,FALSE)-2),0),0)</f>
        <v>0</v>
      </c>
      <c r="T62" s="222">
        <f>IF(VLOOKUP(T$2,'TIS Site Config'!$A$4:$AQ$51,3,FALSE)&lt;&gt;"Soft",
          IF(
             AND(VLOOKUP(T$2,'TIS Site Config'!$A$3:$AQ$51,18,FALSE)="Split",
                        VLOOKUP(T$2,'TIS Site Config'!$A$3:$AQ$51,6,FALSE)="Heated"),
                             (VLOOKUP(T$2,'TIS Site Config'!$A$3:$AQ$51,17,FALSE)-2),0),0)</f>
        <v>0</v>
      </c>
      <c r="U62" s="136">
        <f>IF(VLOOKUP(U$2,'TIS Site Config'!$A$4:$AQ$51,3,FALSE)&lt;&gt;"Soft",
          IF(
             AND(VLOOKUP(U$2,'TIS Site Config'!$A$3:$AQ$51,18,FALSE)="Split",
                        VLOOKUP(U$2,'TIS Site Config'!$A$3:$AQ$51,6,FALSE)="Heated"),
                             (VLOOKUP(U$2,'TIS Site Config'!$A$3:$AQ$51,17,FALSE)-2),0),0)</f>
        <v>0</v>
      </c>
      <c r="V62" s="222">
        <f>IF(VLOOKUP(V$2,'TIS Site Config'!$A$4:$AQ$51,3,FALSE)&lt;&gt;"Soft",
          IF(
             AND(VLOOKUP(V$2,'TIS Site Config'!$A$3:$AQ$51,18,FALSE)="Split",
                        VLOOKUP(V$2,'TIS Site Config'!$A$3:$AQ$51,6,FALSE)="Heated"),
                             (VLOOKUP(V$2,'TIS Site Config'!$A$3:$AQ$51,17,FALSE)-2),0),0)</f>
        <v>0</v>
      </c>
      <c r="W62" s="224">
        <f>IF(VLOOKUP(W$2,'TIS Site Config'!$A$4:$AQ$51,3,FALSE)&lt;&gt;"Soft",
          IF(
             AND(VLOOKUP(W$2,'TIS Site Config'!$A$3:$AQ$51,18,FALSE)="Split",
                        VLOOKUP(W$2,'TIS Site Config'!$A$3:$AQ$51,6,FALSE)="Heated"),
                             (VLOOKUP(W$2,'TIS Site Config'!$A$3:$AQ$51,17,FALSE)-2),0),0)</f>
        <v>0</v>
      </c>
      <c r="X62" s="21">
        <f>IF(VLOOKUP(X$2,'TIS Site Config'!$A$4:$AQ$51,3,FALSE)&lt;&gt;"Soft",
          IF(
             AND(VLOOKUP(X$2,'TIS Site Config'!$A$3:$AQ$51,18,FALSE)="Split",
                        VLOOKUP(X$2,'TIS Site Config'!$A$3:$AQ$51,6,FALSE)="Heated"),
                             (VLOOKUP(X$2,'TIS Site Config'!$A$3:$AQ$51,17,FALSE)-2),0),0)</f>
        <v>0</v>
      </c>
      <c r="Y62" s="222">
        <f>IF(VLOOKUP(Y$2,'TIS Site Config'!$A$4:$AQ$51,3,FALSE)&lt;&gt;"Soft",
          IF(
             AND(VLOOKUP(Y$2,'TIS Site Config'!$A$3:$AQ$51,18,FALSE)="Split",
                        VLOOKUP(Y$2,'TIS Site Config'!$A$3:$AQ$51,6,FALSE)="Heated"),
                             (VLOOKUP(Y$2,'TIS Site Config'!$A$3:$AQ$51,17,FALSE)-2),0),0)</f>
        <v>0</v>
      </c>
      <c r="Z62" s="136">
        <f>IF(VLOOKUP(Z$2,'TIS Site Config'!$A$4:$AQ$51,3,FALSE)&lt;&gt;"Soft",
          IF(
             AND(VLOOKUP(Z$2,'TIS Site Config'!$A$3:$AQ$51,18,FALSE)="Split",
                        VLOOKUP(Z$2,'TIS Site Config'!$A$3:$AQ$51,6,FALSE)="Heated"),
                             (VLOOKUP(Z$2,'TIS Site Config'!$A$3:$AQ$51,17,FALSE)-2),0),0)</f>
        <v>2</v>
      </c>
      <c r="AA62" s="21">
        <f>IF(VLOOKUP(AA$2,'TIS Site Config'!$A$4:$AQ$51,3,FALSE)&lt;&gt;"Soft",
          IF(
             AND(VLOOKUP(AA$2,'TIS Site Config'!$A$3:$AQ$51,18,FALSE)="Split",
                        VLOOKUP(AA$2,'TIS Site Config'!$A$3:$AQ$51,6,FALSE)="Heated"),
                             (VLOOKUP(AA$2,'TIS Site Config'!$A$3:$AQ$51,17,FALSE)-2),0),0)</f>
        <v>0</v>
      </c>
      <c r="AB62" s="222">
        <f>IF(VLOOKUP(AB$2,'TIS Site Config'!$A$4:$AQ$51,3,FALSE)&lt;&gt;"Soft",
          IF(
             AND(VLOOKUP(AB$2,'TIS Site Config'!$A$3:$AQ$51,18,FALSE)="Split",
                        VLOOKUP(AB$2,'TIS Site Config'!$A$3:$AQ$51,6,FALSE)="Heated"),
                             (VLOOKUP(AB$2,'TIS Site Config'!$A$3:$AQ$51,17,FALSE)-2),0),0)</f>
        <v>2</v>
      </c>
      <c r="AC62" s="21">
        <f>IF(VLOOKUP(AC$2,'TIS Site Config'!$A$4:$AQ$51,3,FALSE)&lt;&gt;"Soft",
          IF(
             AND(VLOOKUP(AC$2,'TIS Site Config'!$A$3:$AQ$51,18,FALSE)="Split",
                        VLOOKUP(AC$2,'TIS Site Config'!$A$3:$AQ$51,6,FALSE)="Heated"),
                             (VLOOKUP(AC$2,'TIS Site Config'!$A$3:$AQ$51,17,FALSE)-2),0),0)</f>
        <v>0</v>
      </c>
      <c r="AD62" s="223">
        <f>IF(VLOOKUP(AD$2,'TIS Site Config'!$A$4:$AQ$51,3,FALSE)&lt;&gt;"Soft",
          IF(
             AND(VLOOKUP(AD$2,'TIS Site Config'!$A$3:$AQ$51,18,FALSE)="Split",
                        VLOOKUP(AD$2,'TIS Site Config'!$A$3:$AQ$51,6,FALSE)="Heated"),
                             (VLOOKUP(AD$2,'TIS Site Config'!$A$3:$AQ$51,17,FALSE)-2),0),0)</f>
        <v>4</v>
      </c>
      <c r="AE62" s="223">
        <f>IF(VLOOKUP(AE$2,'TIS Site Config'!$A$4:$AQ$51,3,FALSE)&lt;&gt;"Soft",
          IF(
             AND(VLOOKUP(AE$2,'TIS Site Config'!$A$3:$AQ$51,18,FALSE)="Split",
                        VLOOKUP(AE$2,'TIS Site Config'!$A$3:$AQ$51,6,FALSE)="Heated"),
                             (VLOOKUP(AE$2,'TIS Site Config'!$A$3:$AQ$51,17,FALSE)-2),0),0)</f>
        <v>4</v>
      </c>
      <c r="AF62" s="16">
        <f>IF(VLOOKUP(AF$2,'TIS Site Config'!$A$4:$AQ$51,3,FALSE)&lt;&gt;"Soft",
          IF(
             AND(VLOOKUP(AF$2,'TIS Site Config'!$A$3:$AQ$51,18,FALSE)="Split",
                        VLOOKUP(AF$2,'TIS Site Config'!$A$3:$AQ$51,6,FALSE)="Heated"),
                             (VLOOKUP(AF$2,'TIS Site Config'!$A$3:$AQ$51,17,FALSE)-2),0),0)</f>
        <v>0</v>
      </c>
      <c r="AG62" s="21">
        <f>IF(VLOOKUP(AG$2,'TIS Site Config'!$A$4:$AQ$51,3,FALSE)&lt;&gt;"Soft",
          IF(
             AND(VLOOKUP(AG$2,'TIS Site Config'!$A$3:$AQ$51,18,FALSE)="Split",
                        VLOOKUP(AG$2,'TIS Site Config'!$A$3:$AQ$51,6,FALSE)="Heated"),
                             (VLOOKUP(AG$2,'TIS Site Config'!$A$3:$AQ$51,17,FALSE)-2),0),0)</f>
        <v>0</v>
      </c>
      <c r="AH62" s="222">
        <f>IF(VLOOKUP(AH$2,'TIS Site Config'!$A$4:$AQ$51,3,FALSE)&lt;&gt;"Soft",
          IF(
             AND(VLOOKUP(AH$2,'TIS Site Config'!$A$3:$AQ$51,18,FALSE)="Split",
                        VLOOKUP(AH$2,'TIS Site Config'!$A$3:$AQ$51,6,FALSE)="Heated"),
                             (VLOOKUP(AH$2,'TIS Site Config'!$A$3:$AQ$51,17,FALSE)-2),0),0)</f>
        <v>0</v>
      </c>
      <c r="AI62" s="136">
        <f>IF(VLOOKUP(AI$2,'TIS Site Config'!$A$4:$AQ$51,3,FALSE)&lt;&gt;"Soft",
          IF(
             AND(VLOOKUP(AI$2,'TIS Site Config'!$A$3:$AQ$51,18,FALSE)="Split",
                        VLOOKUP(AI$2,'TIS Site Config'!$A$3:$AQ$51,6,FALSE)="Heated"),
                             (VLOOKUP(AI$2,'TIS Site Config'!$A$3:$AQ$51,17,FALSE)-2),0),0)</f>
        <v>2</v>
      </c>
      <c r="AJ62" s="21">
        <f>IF(VLOOKUP(AJ$2,'TIS Site Config'!$A$4:$AQ$51,3,FALSE)&lt;&gt;"Soft",
          IF(
             AND(VLOOKUP(AJ$2,'TIS Site Config'!$A$3:$AQ$51,18,FALSE)="Split",
                        VLOOKUP(AJ$2,'TIS Site Config'!$A$3:$AQ$51,6,FALSE)="Heated"),
                             (VLOOKUP(AJ$2,'TIS Site Config'!$A$3:$AQ$51,17,FALSE)-2),0),0)</f>
        <v>2</v>
      </c>
      <c r="AK62" s="222">
        <f>IF(VLOOKUP(AK$2,'TIS Site Config'!$A$4:$AQ$51,3,FALSE)&lt;&gt;"Soft",
          IF(
             AND(VLOOKUP(AK$2,'TIS Site Config'!$A$3:$AQ$51,18,FALSE)="Split",
                        VLOOKUP(AK$2,'TIS Site Config'!$A$3:$AQ$51,6,FALSE)="Heated"),
                             (VLOOKUP(AK$2,'TIS Site Config'!$A$3:$AQ$51,17,FALSE)-2),0),0)</f>
        <v>0</v>
      </c>
      <c r="AL62" s="1009">
        <f>IF(VLOOKUP(AL$2,'TIS Site Config'!$A$4:$AQ$51,3,FALSE)&lt;&gt;"Soft",
          IF(
             AND(VLOOKUP(AL$2,'TIS Site Config'!$A$3:$AQ$51,18,FALSE)="Split",
                        VLOOKUP(AL$2,'TIS Site Config'!$A$3:$AQ$51,6,FALSE)="Heated"),
                             (VLOOKUP(AL$2,'TIS Site Config'!$A$3:$AQ$51,17,FALSE)-2),0),0)</f>
        <v>2</v>
      </c>
      <c r="AM62" s="21">
        <f>IF(VLOOKUP(AM$2,'TIS Site Config'!$A$4:$AQ$51,3,FALSE)&lt;&gt;"Soft",
          IF(
             AND(VLOOKUP(AM$2,'TIS Site Config'!$A$3:$AQ$51,18,FALSE)="Split",
                        VLOOKUP(AM$2,'TIS Site Config'!$A$3:$AQ$51,6,FALSE)="Heated"),
                             (VLOOKUP(AM$2,'TIS Site Config'!$A$3:$AQ$51,17,FALSE)-2),0),0)</f>
        <v>2</v>
      </c>
      <c r="AN62" s="222">
        <f>IF(VLOOKUP(AN$2,'TIS Site Config'!$A$4:$AQ$51,3,FALSE)&lt;&gt;"Soft",
          IF(
             AND(VLOOKUP(AN$2,'TIS Site Config'!$A$3:$AQ$51,18,FALSE)="Split",
                        VLOOKUP(AN$2,'TIS Site Config'!$A$3:$AQ$51,6,FALSE)="Heated"),
                             (VLOOKUP(AN$2,'TIS Site Config'!$A$3:$AQ$51,17,FALSE)-2),0),0)</f>
        <v>0</v>
      </c>
      <c r="AO62" s="136">
        <f>IF(VLOOKUP(AO$2,'TIS Site Config'!$A$4:$AQ$51,3,FALSE)&lt;&gt;"Soft",
          IF(
             AND(VLOOKUP(AO$2,'TIS Site Config'!$A$3:$AQ$51,18,FALSE)="Split",
                        VLOOKUP(AO$2,'TIS Site Config'!$A$3:$AQ$51,6,FALSE)="Heated"),
                             (VLOOKUP(AO$2,'TIS Site Config'!$A$3:$AQ$51,17,FALSE)-2),0),0)</f>
        <v>3</v>
      </c>
      <c r="AP62" s="21">
        <f>IF(VLOOKUP(AP$2,'TIS Site Config'!$A$4:$AQ$51,3,FALSE)&lt;&gt;"Soft",
          IF(
             AND(VLOOKUP(AP$2,'TIS Site Config'!$A$3:$AQ$51,18,FALSE)="Split",
                        VLOOKUP(AP$2,'TIS Site Config'!$A$3:$AQ$51,6,FALSE)="Heated"),
                             (VLOOKUP(AP$2,'TIS Site Config'!$A$3:$AQ$51,17,FALSE)-2),0),0)</f>
        <v>2</v>
      </c>
      <c r="AQ62" s="136">
        <f>IF(VLOOKUP(AQ$2,'TIS Site Config'!$A$4:$AQ$51,3,FALSE)&lt;&gt;"Soft",
          IF(
             AND(VLOOKUP(AQ$2,'TIS Site Config'!$A$3:$AQ$51,18,FALSE)="Split",
                        VLOOKUP(AQ$2,'TIS Site Config'!$A$3:$AQ$51,6,FALSE)="Heated"),
                             (VLOOKUP(AQ$2,'TIS Site Config'!$A$3:$AQ$51,17,FALSE)-2),0),0)</f>
        <v>0</v>
      </c>
      <c r="AR62" s="136">
        <f>IF(VLOOKUP(AR$2,'TIS Site Config'!$A$4:$AQ$51,3,FALSE)&lt;&gt;"Soft",
          IF(
             AND(VLOOKUP(AR$2,'TIS Site Config'!$A$3:$AQ$51,18,FALSE)="Split",
                        VLOOKUP(AR$2,'TIS Site Config'!$A$3:$AQ$51,6,FALSE)="Heated"),
                             (VLOOKUP(AR$2,'TIS Site Config'!$A$3:$AQ$51,17,FALSE)-2),0),0)</f>
        <v>0</v>
      </c>
      <c r="AS62" s="21">
        <f>IF(VLOOKUP(AS$2,'TIS Site Config'!$A$4:$AQ$51,3,FALSE)&lt;&gt;"Soft",
          IF(
             AND(VLOOKUP(AS$2,'TIS Site Config'!$A$3:$AQ$51,18,FALSE)="Split",
                        VLOOKUP(AS$2,'TIS Site Config'!$A$3:$AQ$51,6,FALSE)="Heated"),
                             (VLOOKUP(AS$2,'TIS Site Config'!$A$3:$AQ$51,17,FALSE)-2),0),0)</f>
        <v>0</v>
      </c>
      <c r="AT62" s="136">
        <f>IF(VLOOKUP(AT$2,'TIS Site Config'!$A$4:$AQ$51,3,FALSE)&lt;&gt;"Soft",
          IF(
             AND(VLOOKUP(AT$2,'TIS Site Config'!$A$3:$AQ$51,18,FALSE)="Split",
                        VLOOKUP(AT$2,'TIS Site Config'!$A$3:$AQ$51,6,FALSE)="Heated"),
                             (VLOOKUP(AT$2,'TIS Site Config'!$A$3:$AQ$51,17,FALSE)-2),0),0)</f>
        <v>0</v>
      </c>
      <c r="AU62" s="21">
        <f>IF(VLOOKUP(AU$2,'TIS Site Config'!$A$4:$AQ$51,3,FALSE)&lt;&gt;"Soft",
          IF(
             AND(VLOOKUP(AU$2,'TIS Site Config'!$A$3:$AQ$51,18,FALSE)="Split",
                        VLOOKUP(AU$2,'TIS Site Config'!$A$3:$AQ$51,6,FALSE)="Heated"),
                             (VLOOKUP(AU$2,'TIS Site Config'!$A$3:$AQ$51,17,FALSE)-2),0),0)</f>
        <v>0</v>
      </c>
      <c r="AV62" s="136">
        <f>IF(VLOOKUP(AV$2,'TIS Site Config'!$A$4:$AQ$51,3,FALSE)&lt;&gt;"Soft",
          IF(
             AND(VLOOKUP(AV$2,'TIS Site Config'!$A$3:$AQ$51,18,FALSE)="Split",
                        VLOOKUP(AV$2,'TIS Site Config'!$A$3:$AQ$51,6,FALSE)="Heated"),
                             (VLOOKUP(AV$2,'TIS Site Config'!$A$3:$AQ$51,17,FALSE)-2),0),0)</f>
        <v>0</v>
      </c>
      <c r="AW62" s="136">
        <f>IF(VLOOKUP(AW$2,'TIS Site Config'!$A$4:$AQ$51,3,FALSE)&lt;&gt;"Soft",
          IF(
             AND(VLOOKUP(AW$2,'TIS Site Config'!$A$3:$AQ$51,18,FALSE)="Split",
                        VLOOKUP(AW$2,'TIS Site Config'!$A$3:$AQ$51,6,FALSE)="Heated"),
                             (VLOOKUP(AW$2,'TIS Site Config'!$A$3:$AQ$51,17,FALSE)-2),0),0)</f>
        <v>6</v>
      </c>
      <c r="AX62" s="222">
        <f>IF(VLOOKUP(AX$2,'TIS Site Config'!$A$4:$AQ$51,3,FALSE)&lt;&gt;"Soft",
          IF(
             AND(VLOOKUP(AX$2,'TIS Site Config'!$A$3:$AQ$51,18,FALSE)="Split",
                        VLOOKUP(AX$2,'TIS Site Config'!$A$3:$AQ$51,6,FALSE)="Heated"),
                             (VLOOKUP(AX$2,'TIS Site Config'!$A$3:$AQ$51,17,FALSE)-2),0),0)</f>
        <v>0</v>
      </c>
      <c r="AY62" s="136">
        <f>IF(VLOOKUP(AY$2,'TIS Site Config'!$A$4:$AQ$51,3,FALSE)&lt;&gt;"Soft",
          IF(
             AND(VLOOKUP(AY$2,'TIS Site Config'!$A$3:$AQ$51,18,FALSE)="Split",
                        VLOOKUP(AY$2,'TIS Site Config'!$A$3:$AQ$51,6,FALSE)="Heated"),
                             (VLOOKUP(AY$2,'TIS Site Config'!$A$3:$AQ$51,17,FALSE)-2),0),0)</f>
        <v>4</v>
      </c>
      <c r="AZ62" s="21">
        <f>IF(VLOOKUP(AZ$2,'TIS Site Config'!$A$4:$AQ$51,3,FALSE)&lt;&gt;"Soft",
          IF(
             AND(VLOOKUP(AZ$2,'TIS Site Config'!$A$3:$AQ$51,18,FALSE)="Split",
                        VLOOKUP(AZ$2,'TIS Site Config'!$A$3:$AQ$51,6,FALSE)="Heated"),
                             (VLOOKUP(AZ$2,'TIS Site Config'!$A$3:$AQ$51,17,FALSE)-2),0),0)</f>
        <v>4</v>
      </c>
      <c r="BA62" s="223">
        <f>IF(VLOOKUP(BA$2,'TIS Site Config'!$A$4:$AQ$51,3,FALSE)&lt;&gt;"Soft",
          IF(
             AND(VLOOKUP(BA$2,'TIS Site Config'!$A$3:$AQ$51,18,FALSE)="Split",
                        VLOOKUP(BA$2,'TIS Site Config'!$A$3:$AQ$51,6,FALSE)="Heated"),
                             (VLOOKUP(BA$2,'TIS Site Config'!$A$3:$AQ$51,17,FALSE)-2),0),0)</f>
        <v>0</v>
      </c>
      <c r="BB62" s="136">
        <f>IF(VLOOKUP(BB$2,'TIS Site Config'!$A$4:$AQ$51,3,FALSE)&lt;&gt;"Soft",
          IF(
             AND(VLOOKUP(BB$2,'TIS Site Config'!$A$3:$AQ$51,18,FALSE)="Split",
                        VLOOKUP(BB$2,'TIS Site Config'!$A$3:$AQ$51,6,FALSE)="Heated"),
                             (VLOOKUP(BB$2,'TIS Site Config'!$A$3:$AQ$51,17,FALSE)-2),0),0)</f>
        <v>0</v>
      </c>
      <c r="BC62" s="222">
        <f>IF(VLOOKUP(BC$2,'TIS Site Config'!$A$4:$AQ$51,3,FALSE)&lt;&gt;"Soft",
          IF(
             AND(VLOOKUP(BC$2,'TIS Site Config'!$A$3:$AQ$51,18,FALSE)="Split",
                        VLOOKUP(BC$2,'TIS Site Config'!$A$3:$AQ$51,6,FALSE)="Heated"),
                             (VLOOKUP(BC$2,'TIS Site Config'!$A$3:$AQ$51,17,FALSE)-2),0),0)</f>
        <v>0</v>
      </c>
      <c r="BD62" s="136">
        <f>IF(VLOOKUP(BD$2,'TIS Site Config'!$A$4:$AQ$51,3,FALSE)&lt;&gt;"Soft",
          IF(
             AND(VLOOKUP(BD$2,'TIS Site Config'!$A$3:$AQ$51,18,FALSE)="Split",
                        VLOOKUP(BD$2,'TIS Site Config'!$A$3:$AQ$51,6,FALSE)="Heated"),
                             (VLOOKUP(BD$2,'TIS Site Config'!$A$3:$AQ$51,17,FALSE)-2),0),0)</f>
        <v>0</v>
      </c>
      <c r="BE62" s="21">
        <f>IF(VLOOKUP(BE$2,'TIS Site Config'!$A$4:$AQ$51,3,FALSE)&lt;&gt;"Soft",
          IF(
             AND(VLOOKUP(BE$2,'TIS Site Config'!$A$3:$AQ$51,18,FALSE)="Split",
                        VLOOKUP(BE$2,'TIS Site Config'!$A$3:$AQ$51,6,FALSE)="Heated"),
                             (VLOOKUP(BE$2,'TIS Site Config'!$A$3:$AQ$51,17,FALSE)-2),0),0)</f>
        <v>0</v>
      </c>
      <c r="BF62" s="222">
        <f>IF(VLOOKUP(BF$2,'TIS Site Config'!$A$4:$AQ$51,3,FALSE)&lt;&gt;"Soft",
          IF(
             AND(VLOOKUP(BF$2,'TIS Site Config'!$A$3:$AQ$51,18,FALSE)="Split",
                        VLOOKUP(BF$2,'TIS Site Config'!$A$3:$AQ$51,6,FALSE)="Heated"),
                             (VLOOKUP(BF$2,'TIS Site Config'!$A$3:$AQ$51,17,FALSE)-2),0),0)</f>
        <v>0</v>
      </c>
      <c r="BG62" s="62">
        <f>IF(VLOOKUP(BG$2,'TIS Site Config'!$A$4:$AQ$51,3,FALSE)&lt;&gt;"Soft",
          IF(
             AND(VLOOKUP(BG$2,'TIS Site Config'!$A$3:$AQ$51,18,FALSE)="Split",
                        VLOOKUP(BG$2,'TIS Site Config'!$A$3:$AQ$51,6,FALSE)="Heated"),
                             (VLOOKUP(BG$2,'TIS Site Config'!$A$3:$AQ$51,17,FALSE)-2),0),0)</f>
        <v>0</v>
      </c>
      <c r="BH62" s="62">
        <f>IF(VLOOKUP(BH$2,'TIS Site Config'!$A$4:$AQ$51,3,FALSE)&lt;&gt;"Soft",
          IF(
             AND(VLOOKUP(BH$2,'TIS Site Config'!$A$3:$AQ$51,18,FALSE)="Split",
                        VLOOKUP(BH$2,'TIS Site Config'!$A$3:$AQ$51,6,FALSE)="Heated"),
                             (VLOOKUP(BH$2,'TIS Site Config'!$A$3:$AQ$51,17,FALSE)-2),0),0)</f>
        <v>2</v>
      </c>
      <c r="BK62" s="3">
        <v>52</v>
      </c>
      <c r="BL62" s="950" t="b">
        <f t="shared" si="4"/>
        <v>0</v>
      </c>
      <c r="BO62" s="950"/>
    </row>
    <row r="63" spans="1:67" x14ac:dyDescent="0.25">
      <c r="A63" s="1366"/>
      <c r="B63" s="1333"/>
      <c r="C63" s="69" t="s">
        <v>158</v>
      </c>
      <c r="D63" s="91">
        <v>1</v>
      </c>
      <c r="E63" s="85" t="s">
        <v>308</v>
      </c>
      <c r="F63" s="62">
        <f t="shared" si="1"/>
        <v>16</v>
      </c>
      <c r="G63" s="450"/>
      <c r="H63" s="451"/>
      <c r="I63" s="451">
        <v>1</v>
      </c>
      <c r="J63" s="451"/>
      <c r="K63" s="452"/>
      <c r="L63" s="491"/>
      <c r="M63" s="136">
        <f>IF(VLOOKUP(M$2,'TIS Site Config'!$A$4:$AQ$51,3,FALSE)&lt;&gt;"Soft",
          IF(
             AND(VLOOKUP(M$2,'TIS Site Config'!$A$3:$AQ$51,18,FALSE)="Combined",
                        VLOOKUP(M$2,'TIS Site Config'!$A$3:$AQ$51,6,FALSE)="Non-heated"),
                              (VLOOKUP(M$2,'TIS Site Config'!$A$3:$AQ$51,17,FALSE)-2),0),0)</f>
        <v>0</v>
      </c>
      <c r="N63" s="222">
        <f>IF(VLOOKUP(N$2,'TIS Site Config'!$A$4:$AQ$51,3,FALSE)&lt;&gt;"Soft",
          IF(
             AND(VLOOKUP(N$2,'TIS Site Config'!$A$3:$AQ$51,18,FALSE)="Combined",
                        VLOOKUP(N$2,'TIS Site Config'!$A$3:$AQ$51,6,FALSE)="Non-heated"),
                              (VLOOKUP(N$2,'TIS Site Config'!$A$3:$AQ$51,17,FALSE)-2),0),0)</f>
        <v>0</v>
      </c>
      <c r="O63" s="225">
        <f>IF(VLOOKUP(O$2,'TIS Site Config'!$A$4:$AQ$51,3,FALSE)&lt;&gt;"Soft",
          IF(
             AND(VLOOKUP(O$2,'TIS Site Config'!$A$3:$AQ$51,18,FALSE)="Combined",
                        VLOOKUP(O$2,'TIS Site Config'!$A$3:$AQ$51,6,FALSE)="Non-heated"),
                              (VLOOKUP(O$2,'TIS Site Config'!$A$3:$AQ$51,17,FALSE)-2),0),0)</f>
        <v>0</v>
      </c>
      <c r="P63" s="21">
        <f>IF(VLOOKUP(P$2,'TIS Site Config'!$A$4:$AQ$51,3,FALSE)&lt;&gt;"Soft",
          IF(
             AND(VLOOKUP(P$2,'TIS Site Config'!$A$3:$AQ$51,18,FALSE)="Combined",
                        VLOOKUP(P$2,'TIS Site Config'!$A$3:$AQ$51,6,FALSE)="Non-heated"),
                              (VLOOKUP(P$2,'TIS Site Config'!$A$3:$AQ$51,17,FALSE)-2),0),0)</f>
        <v>0</v>
      </c>
      <c r="Q63" s="222">
        <f>IF(VLOOKUP(Q$2,'TIS Site Config'!$A$4:$AQ$51,3,FALSE)&lt;&gt;"Soft",
          IF(
             AND(VLOOKUP(Q$2,'TIS Site Config'!$A$3:$AQ$51,18,FALSE)="Combined",
                        VLOOKUP(Q$2,'TIS Site Config'!$A$3:$AQ$51,6,FALSE)="Non-heated"),
                              (VLOOKUP(Q$2,'TIS Site Config'!$A$3:$AQ$51,17,FALSE)-2),0),0)</f>
        <v>0</v>
      </c>
      <c r="R63" s="136">
        <f>IF(VLOOKUP(R$2,'TIS Site Config'!$A$4:$AQ$51,3,FALSE)&lt;&gt;"Soft",
          IF(
             AND(VLOOKUP(R$2,'TIS Site Config'!$A$3:$AQ$51,18,FALSE)="Combined",
                        VLOOKUP(R$2,'TIS Site Config'!$A$3:$AQ$51,6,FALSE)="Non-heated"),
                              (VLOOKUP(R$2,'TIS Site Config'!$A$3:$AQ$51,17,FALSE)-2),0),0)</f>
        <v>4</v>
      </c>
      <c r="S63" s="21">
        <f>IF(VLOOKUP(S$2,'TIS Site Config'!$A$4:$AQ$51,3,FALSE)&lt;&gt;"Soft",
          IF(
             AND(VLOOKUP(S$2,'TIS Site Config'!$A$3:$AQ$51,18,FALSE)="Combined",
                        VLOOKUP(S$2,'TIS Site Config'!$A$3:$AQ$51,6,FALSE)="Non-heated"),
                              (VLOOKUP(S$2,'TIS Site Config'!$A$3:$AQ$51,17,FALSE)-2),0),0)</f>
        <v>0</v>
      </c>
      <c r="T63" s="222">
        <f>IF(VLOOKUP(T$2,'TIS Site Config'!$A$4:$AQ$51,3,FALSE)&lt;&gt;"Soft",
          IF(
             AND(VLOOKUP(T$2,'TIS Site Config'!$A$3:$AQ$51,18,FALSE)="Combined",
                        VLOOKUP(T$2,'TIS Site Config'!$A$3:$AQ$51,6,FALSE)="Non-heated"),
                              (VLOOKUP(T$2,'TIS Site Config'!$A$3:$AQ$51,17,FALSE)-2),0),0)</f>
        <v>0</v>
      </c>
      <c r="U63" s="136">
        <f>IF(VLOOKUP(U$2,'TIS Site Config'!$A$4:$AQ$51,3,FALSE)&lt;&gt;"Soft",
          IF(
             AND(VLOOKUP(U$2,'TIS Site Config'!$A$3:$AQ$51,18,FALSE)="Combined",
                        VLOOKUP(U$2,'TIS Site Config'!$A$3:$AQ$51,6,FALSE)="Non-heated"),
                              (VLOOKUP(U$2,'TIS Site Config'!$A$3:$AQ$51,17,FALSE)-2),0),0)</f>
        <v>0</v>
      </c>
      <c r="V63" s="222">
        <f>IF(VLOOKUP(V$2,'TIS Site Config'!$A$4:$AQ$51,3,FALSE)&lt;&gt;"Soft",
          IF(
             AND(VLOOKUP(V$2,'TIS Site Config'!$A$3:$AQ$51,18,FALSE)="Combined",
                        VLOOKUP(V$2,'TIS Site Config'!$A$3:$AQ$51,6,FALSE)="Non-heated"),
                              (VLOOKUP(V$2,'TIS Site Config'!$A$3:$AQ$51,17,FALSE)-2),0),0)</f>
        <v>0</v>
      </c>
      <c r="W63" s="224">
        <f>IF(VLOOKUP(W$2,'TIS Site Config'!$A$4:$AQ$51,3,FALSE)&lt;&gt;"Soft",
          IF(
             AND(VLOOKUP(W$2,'TIS Site Config'!$A$3:$AQ$51,18,FALSE)="Combined",
                        VLOOKUP(W$2,'TIS Site Config'!$A$3:$AQ$51,6,FALSE)="Non-heated"),
                              (VLOOKUP(W$2,'TIS Site Config'!$A$3:$AQ$51,17,FALSE)-2),0),0)</f>
        <v>0</v>
      </c>
      <c r="X63" s="21">
        <f>IF(VLOOKUP(X$2,'TIS Site Config'!$A$4:$AQ$51,3,FALSE)&lt;&gt;"Soft",
          IF(
             AND(VLOOKUP(X$2,'TIS Site Config'!$A$3:$AQ$51,18,FALSE)="Combined",
                        VLOOKUP(X$2,'TIS Site Config'!$A$3:$AQ$51,6,FALSE)="Non-heated"),
                              (VLOOKUP(X$2,'TIS Site Config'!$A$3:$AQ$51,17,FALSE)-2),0),0)</f>
        <v>0</v>
      </c>
      <c r="Y63" s="222">
        <f>IF(VLOOKUP(Y$2,'TIS Site Config'!$A$4:$AQ$51,3,FALSE)&lt;&gt;"Soft",
          IF(
             AND(VLOOKUP(Y$2,'TIS Site Config'!$A$3:$AQ$51,18,FALSE)="Combined",
                        VLOOKUP(Y$2,'TIS Site Config'!$A$3:$AQ$51,6,FALSE)="Non-heated"),
                              (VLOOKUP(Y$2,'TIS Site Config'!$A$3:$AQ$51,17,FALSE)-2),0),0)</f>
        <v>0</v>
      </c>
      <c r="Z63" s="136">
        <f>IF(VLOOKUP(Z$2,'TIS Site Config'!$A$4:$AQ$51,3,FALSE)&lt;&gt;"Soft",
          IF(
             AND(VLOOKUP(Z$2,'TIS Site Config'!$A$3:$AQ$51,18,FALSE)="Combined",
                        VLOOKUP(Z$2,'TIS Site Config'!$A$3:$AQ$51,6,FALSE)="Non-heated"),
                              (VLOOKUP(Z$2,'TIS Site Config'!$A$3:$AQ$51,17,FALSE)-2),0),0)</f>
        <v>0</v>
      </c>
      <c r="AA63" s="21">
        <f>IF(VLOOKUP(AA$2,'TIS Site Config'!$A$4:$AQ$51,3,FALSE)&lt;&gt;"Soft",
          IF(
             AND(VLOOKUP(AA$2,'TIS Site Config'!$A$3:$AQ$51,18,FALSE)="Combined",
                        VLOOKUP(AA$2,'TIS Site Config'!$A$3:$AQ$51,6,FALSE)="Non-heated"),
                              (VLOOKUP(AA$2,'TIS Site Config'!$A$3:$AQ$51,17,FALSE)-2),0),0)</f>
        <v>0</v>
      </c>
      <c r="AB63" s="222">
        <f>IF(VLOOKUP(AB$2,'TIS Site Config'!$A$4:$AQ$51,3,FALSE)&lt;&gt;"Soft",
          IF(
             AND(VLOOKUP(AB$2,'TIS Site Config'!$A$3:$AQ$51,18,FALSE)="Combined",
                        VLOOKUP(AB$2,'TIS Site Config'!$A$3:$AQ$51,6,FALSE)="Non-heated"),
                              (VLOOKUP(AB$2,'TIS Site Config'!$A$3:$AQ$51,17,FALSE)-2),0),0)</f>
        <v>0</v>
      </c>
      <c r="AC63" s="21">
        <f>IF(VLOOKUP(AC$2,'TIS Site Config'!$A$4:$AQ$51,3,FALSE)&lt;&gt;"Soft",
          IF(
             AND(VLOOKUP(AC$2,'TIS Site Config'!$A$3:$AQ$51,18,FALSE)="Combined",
                        VLOOKUP(AC$2,'TIS Site Config'!$A$3:$AQ$51,6,FALSE)="Non-heated"),
                              (VLOOKUP(AC$2,'TIS Site Config'!$A$3:$AQ$51,17,FALSE)-2),0),0)</f>
        <v>0</v>
      </c>
      <c r="AD63" s="223">
        <f>IF(VLOOKUP(AD$2,'TIS Site Config'!$A$4:$AQ$51,3,FALSE)&lt;&gt;"Soft",
          IF(
             AND(VLOOKUP(AD$2,'TIS Site Config'!$A$3:$AQ$51,18,FALSE)="Combined",
                        VLOOKUP(AD$2,'TIS Site Config'!$A$3:$AQ$51,6,FALSE)="Non-heated"),
                              (VLOOKUP(AD$2,'TIS Site Config'!$A$3:$AQ$51,17,FALSE)-2),0),0)</f>
        <v>0</v>
      </c>
      <c r="AE63" s="223">
        <f>IF(VLOOKUP(AE$2,'TIS Site Config'!$A$4:$AQ$51,3,FALSE)&lt;&gt;"Soft",
          IF(
             AND(VLOOKUP(AE$2,'TIS Site Config'!$A$3:$AQ$51,18,FALSE)="Combined",
                        VLOOKUP(AE$2,'TIS Site Config'!$A$3:$AQ$51,6,FALSE)="Non-heated"),
                              (VLOOKUP(AE$2,'TIS Site Config'!$A$3:$AQ$51,17,FALSE)-2),0),0)</f>
        <v>0</v>
      </c>
      <c r="AF63" s="16">
        <f>IF(VLOOKUP(AF$2,'TIS Site Config'!$A$4:$AQ$51,3,FALSE)&lt;&gt;"Soft",
          IF(
             AND(VLOOKUP(AF$2,'TIS Site Config'!$A$3:$AQ$51,18,FALSE)="Combined",
                        VLOOKUP(AF$2,'TIS Site Config'!$A$3:$AQ$51,6,FALSE)="Non-heated"),
                              (VLOOKUP(AF$2,'TIS Site Config'!$A$3:$AQ$51,17,FALSE)-2),0),0)</f>
        <v>0</v>
      </c>
      <c r="AG63" s="21">
        <f>IF(VLOOKUP(AG$2,'TIS Site Config'!$A$4:$AQ$51,3,FALSE)&lt;&gt;"Soft",
          IF(
             AND(VLOOKUP(AG$2,'TIS Site Config'!$A$3:$AQ$51,18,FALSE)="Combined",
                        VLOOKUP(AG$2,'TIS Site Config'!$A$3:$AQ$51,6,FALSE)="Non-heated"),
                              (VLOOKUP(AG$2,'TIS Site Config'!$A$3:$AQ$51,17,FALSE)-2),0),0)</f>
        <v>4</v>
      </c>
      <c r="AH63" s="222">
        <f>IF(VLOOKUP(AH$2,'TIS Site Config'!$A$4:$AQ$51,3,FALSE)&lt;&gt;"Soft",
          IF(
             AND(VLOOKUP(AH$2,'TIS Site Config'!$A$3:$AQ$51,18,FALSE)="Combined",
                        VLOOKUP(AH$2,'TIS Site Config'!$A$3:$AQ$51,6,FALSE)="Non-heated"),
                              (VLOOKUP(AH$2,'TIS Site Config'!$A$3:$AQ$51,17,FALSE)-2),0),0)</f>
        <v>0</v>
      </c>
      <c r="AI63" s="136">
        <f>IF(VLOOKUP(AI$2,'TIS Site Config'!$A$4:$AQ$51,3,FALSE)&lt;&gt;"Soft",
          IF(
             AND(VLOOKUP(AI$2,'TIS Site Config'!$A$3:$AQ$51,18,FALSE)="Combined",
                        VLOOKUP(AI$2,'TIS Site Config'!$A$3:$AQ$51,6,FALSE)="Non-heated"),
                              (VLOOKUP(AI$2,'TIS Site Config'!$A$3:$AQ$51,17,FALSE)-2),0),0)</f>
        <v>0</v>
      </c>
      <c r="AJ63" s="21">
        <f>IF(VLOOKUP(AJ$2,'TIS Site Config'!$A$4:$AQ$51,3,FALSE)&lt;&gt;"Soft",
          IF(
             AND(VLOOKUP(AJ$2,'TIS Site Config'!$A$3:$AQ$51,18,FALSE)="Combined",
                        VLOOKUP(AJ$2,'TIS Site Config'!$A$3:$AQ$51,6,FALSE)="Non-heated"),
                              (VLOOKUP(AJ$2,'TIS Site Config'!$A$3:$AQ$51,17,FALSE)-2),0),0)</f>
        <v>0</v>
      </c>
      <c r="AK63" s="222">
        <f>IF(VLOOKUP(AK$2,'TIS Site Config'!$A$4:$AQ$51,3,FALSE)&lt;&gt;"Soft",
          IF(
             AND(VLOOKUP(AK$2,'TIS Site Config'!$A$3:$AQ$51,18,FALSE)="Combined",
                        VLOOKUP(AK$2,'TIS Site Config'!$A$3:$AQ$51,6,FALSE)="Non-heated"),
                              (VLOOKUP(AK$2,'TIS Site Config'!$A$3:$AQ$51,17,FALSE)-2),0),0)</f>
        <v>0</v>
      </c>
      <c r="AL63" s="136">
        <f>IF(VLOOKUP(AL$2,'TIS Site Config'!$A$4:$AQ$51,3,FALSE)&lt;&gt;"Soft",
          IF(
             AND(VLOOKUP(AL$2,'TIS Site Config'!$A$3:$AQ$51,18,FALSE)="Combined",
                        VLOOKUP(AL$2,'TIS Site Config'!$A$3:$AQ$51,6,FALSE)="Non-heated"),
                              (VLOOKUP(AL$2,'TIS Site Config'!$A$3:$AQ$51,17,FALSE)-2),0),0)</f>
        <v>0</v>
      </c>
      <c r="AM63" s="21">
        <f>IF(VLOOKUP(AM$2,'TIS Site Config'!$A$4:$AQ$51,3,FALSE)&lt;&gt;"Soft",
          IF(
             AND(VLOOKUP(AM$2,'TIS Site Config'!$A$3:$AQ$51,18,FALSE)="Combined",
                        VLOOKUP(AM$2,'TIS Site Config'!$A$3:$AQ$51,6,FALSE)="Non-heated"),
                              (VLOOKUP(AM$2,'TIS Site Config'!$A$3:$AQ$51,17,FALSE)-2),0),0)</f>
        <v>0</v>
      </c>
      <c r="AN63" s="222">
        <f>IF(VLOOKUP(AN$2,'TIS Site Config'!$A$4:$AQ$51,3,FALSE)&lt;&gt;"Soft",
          IF(
             AND(VLOOKUP(AN$2,'TIS Site Config'!$A$3:$AQ$51,18,FALSE)="Combined",
                        VLOOKUP(AN$2,'TIS Site Config'!$A$3:$AQ$51,6,FALSE)="Non-heated"),
                              (VLOOKUP(AN$2,'TIS Site Config'!$A$3:$AQ$51,17,FALSE)-2),0),0)</f>
        <v>0</v>
      </c>
      <c r="AO63" s="136">
        <f>IF(VLOOKUP(AO$2,'TIS Site Config'!$A$4:$AQ$51,3,FALSE)&lt;&gt;"Soft",
          IF(
             AND(VLOOKUP(AO$2,'TIS Site Config'!$A$3:$AQ$51,18,FALSE)="Combined",
                        VLOOKUP(AO$2,'TIS Site Config'!$A$3:$AQ$51,6,FALSE)="Non-heated"),
                              (VLOOKUP(AO$2,'TIS Site Config'!$A$3:$AQ$51,17,FALSE)-2),0),0)</f>
        <v>0</v>
      </c>
      <c r="AP63" s="21">
        <f>IF(VLOOKUP(AP$2,'TIS Site Config'!$A$4:$AQ$51,3,FALSE)&lt;&gt;"Soft",
          IF(
             AND(VLOOKUP(AP$2,'TIS Site Config'!$A$3:$AQ$51,18,FALSE)="Combined",
                        VLOOKUP(AP$2,'TIS Site Config'!$A$3:$AQ$51,6,FALSE)="Non-heated"),
                              (VLOOKUP(AP$2,'TIS Site Config'!$A$3:$AQ$51,17,FALSE)-2),0),0)</f>
        <v>0</v>
      </c>
      <c r="AQ63" s="136">
        <f>IF(VLOOKUP(AQ$2,'TIS Site Config'!$A$4:$AQ$51,3,FALSE)&lt;&gt;"Soft",
          IF(
             AND(VLOOKUP(AQ$2,'TIS Site Config'!$A$3:$AQ$51,18,FALSE)="Combined",
                        VLOOKUP(AQ$2,'TIS Site Config'!$A$3:$AQ$51,6,FALSE)="Non-heated"),
                              (VLOOKUP(AQ$2,'TIS Site Config'!$A$3:$AQ$51,17,FALSE)-2),0),0)</f>
        <v>0</v>
      </c>
      <c r="AR63" s="136">
        <f>IF(VLOOKUP(AR$2,'TIS Site Config'!$A$4:$AQ$51,3,FALSE)&lt;&gt;"Soft",
          IF(
             AND(VLOOKUP(AR$2,'TIS Site Config'!$A$3:$AQ$51,18,FALSE)="Combined",
                        VLOOKUP(AR$2,'TIS Site Config'!$A$3:$AQ$51,6,FALSE)="Non-heated"),
                              (VLOOKUP(AR$2,'TIS Site Config'!$A$3:$AQ$51,17,FALSE)-2),0),0)</f>
        <v>0</v>
      </c>
      <c r="AS63" s="21">
        <f>IF(VLOOKUP(AS$2,'TIS Site Config'!$A$4:$AQ$51,3,FALSE)&lt;&gt;"Soft",
          IF(
             AND(VLOOKUP(AS$2,'TIS Site Config'!$A$3:$AQ$51,18,FALSE)="Combined",
                        VLOOKUP(AS$2,'TIS Site Config'!$A$3:$AQ$51,6,FALSE)="Non-heated"),
                              (VLOOKUP(AS$2,'TIS Site Config'!$A$3:$AQ$51,17,FALSE)-2),0),0)</f>
        <v>0</v>
      </c>
      <c r="AT63" s="136">
        <f>IF(VLOOKUP(AT$2,'TIS Site Config'!$A$4:$AQ$51,3,FALSE)&lt;&gt;"Soft",
          IF(
             AND(VLOOKUP(AT$2,'TIS Site Config'!$A$3:$AQ$51,18,FALSE)="Combined",
                        VLOOKUP(AT$2,'TIS Site Config'!$A$3:$AQ$51,6,FALSE)="Non-heated"),
                              (VLOOKUP(AT$2,'TIS Site Config'!$A$3:$AQ$51,17,FALSE)-2),0),0)</f>
        <v>2</v>
      </c>
      <c r="AU63" s="21">
        <f>IF(VLOOKUP(AU$2,'TIS Site Config'!$A$4:$AQ$51,3,FALSE)&lt;&gt;"Soft",
          IF(
             AND(VLOOKUP(AU$2,'TIS Site Config'!$A$3:$AQ$51,18,FALSE)="Combined",
                        VLOOKUP(AU$2,'TIS Site Config'!$A$3:$AQ$51,6,FALSE)="Non-heated"),
                              (VLOOKUP(AU$2,'TIS Site Config'!$A$3:$AQ$51,17,FALSE)-2),0),0)</f>
        <v>2</v>
      </c>
      <c r="AV63" s="136">
        <f>IF(VLOOKUP(AV$2,'TIS Site Config'!$A$4:$AQ$51,3,FALSE)&lt;&gt;"Soft",
          IF(
             AND(VLOOKUP(AV$2,'TIS Site Config'!$A$3:$AQ$51,18,FALSE)="Combined",
                        VLOOKUP(AV$2,'TIS Site Config'!$A$3:$AQ$51,6,FALSE)="Non-heated"),
                              (VLOOKUP(AV$2,'TIS Site Config'!$A$3:$AQ$51,17,FALSE)-2),0),0)</f>
        <v>0</v>
      </c>
      <c r="AW63" s="136">
        <f>IF(VLOOKUP(AW$2,'TIS Site Config'!$A$4:$AQ$51,3,FALSE)&lt;&gt;"Soft",
          IF(
             AND(VLOOKUP(AW$2,'TIS Site Config'!$A$3:$AQ$51,18,FALSE)="Combined",
                        VLOOKUP(AW$2,'TIS Site Config'!$A$3:$AQ$51,6,FALSE)="Non-heated"),
                              (VLOOKUP(AW$2,'TIS Site Config'!$A$3:$AQ$51,17,FALSE)-2),0),0)</f>
        <v>0</v>
      </c>
      <c r="AX63" s="222">
        <f>IF(VLOOKUP(AX$2,'TIS Site Config'!$A$4:$AQ$51,3,FALSE)&lt;&gt;"Soft",
          IF(
             AND(VLOOKUP(AX$2,'TIS Site Config'!$A$3:$AQ$51,18,FALSE)="Combined",
                        VLOOKUP(AX$2,'TIS Site Config'!$A$3:$AQ$51,6,FALSE)="Non-heated"),
                              (VLOOKUP(AX$2,'TIS Site Config'!$A$3:$AQ$51,17,FALSE)-2),0),0)</f>
        <v>0</v>
      </c>
      <c r="AY63" s="136">
        <f>IF(VLOOKUP(AY$2,'TIS Site Config'!$A$4:$AQ$51,3,FALSE)&lt;&gt;"Soft",
          IF(
             AND(VLOOKUP(AY$2,'TIS Site Config'!$A$3:$AQ$51,18,FALSE)="Combined",
                        VLOOKUP(AY$2,'TIS Site Config'!$A$3:$AQ$51,6,FALSE)="Non-heated"),
                              (VLOOKUP(AY$2,'TIS Site Config'!$A$3:$AQ$51,17,FALSE)-2),0),0)</f>
        <v>0</v>
      </c>
      <c r="AZ63" s="21">
        <f>IF(VLOOKUP(AZ$2,'TIS Site Config'!$A$4:$AQ$51,3,FALSE)&lt;&gt;"Soft",
          IF(
             AND(VLOOKUP(AZ$2,'TIS Site Config'!$A$3:$AQ$51,18,FALSE)="Combined",
                        VLOOKUP(AZ$2,'TIS Site Config'!$A$3:$AQ$51,6,FALSE)="Non-heated"),
                              (VLOOKUP(AZ$2,'TIS Site Config'!$A$3:$AQ$51,17,FALSE)-2),0),0)</f>
        <v>0</v>
      </c>
      <c r="BA63" s="223">
        <f>IF(VLOOKUP(BA$2,'TIS Site Config'!$A$4:$AQ$51,3,FALSE)&lt;&gt;"Soft",
          IF(
             AND(VLOOKUP(BA$2,'TIS Site Config'!$A$3:$AQ$51,18,FALSE)="Combined",
                        VLOOKUP(BA$2,'TIS Site Config'!$A$3:$AQ$51,6,FALSE)="Non-heated"),
                              (VLOOKUP(BA$2,'TIS Site Config'!$A$3:$AQ$51,17,FALSE)-2),0),0)</f>
        <v>0</v>
      </c>
      <c r="BB63" s="136">
        <f>IF(VLOOKUP(BB$2,'TIS Site Config'!$A$4:$AQ$51,3,FALSE)&lt;&gt;"Soft",
          IF(
             AND(VLOOKUP(BB$2,'TIS Site Config'!$A$3:$AQ$51,18,FALSE)="Combined",
                        VLOOKUP(BB$2,'TIS Site Config'!$A$3:$AQ$51,6,FALSE)="Non-heated"),
                              (VLOOKUP(BB$2,'TIS Site Config'!$A$3:$AQ$51,17,FALSE)-2),0),0)</f>
        <v>0</v>
      </c>
      <c r="BC63" s="222">
        <f>IF(VLOOKUP(BC$2,'TIS Site Config'!$A$4:$AQ$51,3,FALSE)&lt;&gt;"Soft",
          IF(
             AND(VLOOKUP(BC$2,'TIS Site Config'!$A$3:$AQ$51,18,FALSE)="Combined",
                        VLOOKUP(BC$2,'TIS Site Config'!$A$3:$AQ$51,6,FALSE)="Non-heated"),
                              (VLOOKUP(BC$2,'TIS Site Config'!$A$3:$AQ$51,17,FALSE)-2),0),0)</f>
        <v>0</v>
      </c>
      <c r="BD63" s="136">
        <f>IF(VLOOKUP(BD$2,'TIS Site Config'!$A$4:$AQ$51,3,FALSE)&lt;&gt;"Soft",
          IF(
             AND(VLOOKUP(BD$2,'TIS Site Config'!$A$3:$AQ$51,18,FALSE)="Combined",
                        VLOOKUP(BD$2,'TIS Site Config'!$A$3:$AQ$51,6,FALSE)="Non-heated"),
                              (VLOOKUP(BD$2,'TIS Site Config'!$A$3:$AQ$51,17,FALSE)-2),0),0)</f>
        <v>0</v>
      </c>
      <c r="BE63" s="21">
        <f>IF(VLOOKUP(BE$2,'TIS Site Config'!$A$4:$AQ$51,3,FALSE)&lt;&gt;"Soft",
          IF(
             AND(VLOOKUP(BE$2,'TIS Site Config'!$A$3:$AQ$51,18,FALSE)="Combined",
                        VLOOKUP(BE$2,'TIS Site Config'!$A$3:$AQ$51,6,FALSE)="Non-heated"),
                              (VLOOKUP(BE$2,'TIS Site Config'!$A$3:$AQ$51,17,FALSE)-2),0),0)</f>
        <v>0</v>
      </c>
      <c r="BF63" s="222">
        <f>IF(VLOOKUP(BF$2,'TIS Site Config'!$A$4:$AQ$51,3,FALSE)&lt;&gt;"Soft",
          IF(
             AND(VLOOKUP(BF$2,'TIS Site Config'!$A$3:$AQ$51,18,FALSE)="Combined",
                        VLOOKUP(BF$2,'TIS Site Config'!$A$3:$AQ$51,6,FALSE)="Non-heated"),
                              (VLOOKUP(BF$2,'TIS Site Config'!$A$3:$AQ$51,17,FALSE)-2),0),0)</f>
        <v>0</v>
      </c>
      <c r="BG63" s="62">
        <f>IF(VLOOKUP(BG$2,'TIS Site Config'!$A$4:$AQ$51,3,FALSE)&lt;&gt;"Soft",
          IF(
             AND(VLOOKUP(BG$2,'TIS Site Config'!$A$3:$AQ$51,18,FALSE)="Combined",
                        VLOOKUP(BG$2,'TIS Site Config'!$A$3:$AQ$51,6,FALSE)="Non-heated"),
                              (VLOOKUP(BG$2,'TIS Site Config'!$A$3:$AQ$51,17,FALSE)-2),0),0)</f>
        <v>4</v>
      </c>
      <c r="BH63" s="62">
        <f>IF(VLOOKUP(BH$2,'TIS Site Config'!$A$4:$AQ$51,3,FALSE)&lt;&gt;"Soft",
          IF(
             AND(VLOOKUP(BH$2,'TIS Site Config'!$A$3:$AQ$51,18,FALSE)="Combined",
                        VLOOKUP(BH$2,'TIS Site Config'!$A$3:$AQ$51,6,FALSE)="Non-heated"),
                              (VLOOKUP(BH$2,'TIS Site Config'!$A$3:$AQ$51,17,FALSE)-2),0),0)</f>
        <v>0</v>
      </c>
      <c r="BK63" s="3">
        <v>16</v>
      </c>
      <c r="BL63" s="950" t="b">
        <f t="shared" si="4"/>
        <v>1</v>
      </c>
      <c r="BO63" s="950"/>
    </row>
    <row r="64" spans="1:67" x14ac:dyDescent="0.25">
      <c r="A64" s="1366"/>
      <c r="B64" s="1333"/>
      <c r="C64" s="69" t="s">
        <v>159</v>
      </c>
      <c r="D64" s="91">
        <v>1</v>
      </c>
      <c r="E64" s="85" t="s">
        <v>309</v>
      </c>
      <c r="F64" s="62">
        <f t="shared" ref="F64:F120" si="5">SUM(M64:BG64)</f>
        <v>51</v>
      </c>
      <c r="G64" s="450"/>
      <c r="H64" s="451"/>
      <c r="I64" s="451">
        <v>1</v>
      </c>
      <c r="J64" s="451"/>
      <c r="K64" s="452"/>
      <c r="L64" s="491"/>
      <c r="M64" s="136">
        <f>IF(VLOOKUP(M$2,'TIS Site Config'!$A$4:$AQ$51,3,FALSE)&lt;&gt;"Soft",
          IF(
             AND(VLOOKUP(M$2,'TIS Site Config'!$A$3:$AQ$51,18,FALSE)="Combined",
                        VLOOKUP(M$2,'TIS Site Config'!$A$3:$AQ$51,6,FALSE)="Heated"),
                             (VLOOKUP(M$2,'TIS Site Config'!$A$3:$AQ$51,17,FALSE)-2),0),0)</f>
        <v>0</v>
      </c>
      <c r="N64" s="222">
        <f>IF(VLOOKUP(N$2,'TIS Site Config'!$A$4:$AQ$51,3,FALSE)&lt;&gt;"Soft",
          IF(
             AND(VLOOKUP(N$2,'TIS Site Config'!$A$3:$AQ$51,18,FALSE)="Combined",
                        VLOOKUP(N$2,'TIS Site Config'!$A$3:$AQ$51,6,FALSE)="Heated"),
                             (VLOOKUP(N$2,'TIS Site Config'!$A$3:$AQ$51,17,FALSE)-2),0),0)</f>
        <v>4</v>
      </c>
      <c r="O64" s="225">
        <f>IF(VLOOKUP(O$2,'TIS Site Config'!$A$4:$AQ$51,3,FALSE)&lt;&gt;"Soft",
          IF(
             AND(VLOOKUP(O$2,'TIS Site Config'!$A$3:$AQ$51,18,FALSE)="Combined",
                        VLOOKUP(O$2,'TIS Site Config'!$A$3:$AQ$51,6,FALSE)="Heated"),
                             (VLOOKUP(O$2,'TIS Site Config'!$A$3:$AQ$51,17,FALSE)-2),0),0)</f>
        <v>0</v>
      </c>
      <c r="P64" s="21">
        <f>IF(VLOOKUP(P$2,'TIS Site Config'!$A$4:$AQ$51,3,FALSE)&lt;&gt;"Soft",
          IF(
             AND(VLOOKUP(P$2,'TIS Site Config'!$A$3:$AQ$51,18,FALSE)="Combined",
                        VLOOKUP(P$2,'TIS Site Config'!$A$3:$AQ$51,6,FALSE)="Heated"),
                             (VLOOKUP(P$2,'TIS Site Config'!$A$3:$AQ$51,17,FALSE)-2),0),0)</f>
        <v>4</v>
      </c>
      <c r="Q64" s="222">
        <f>IF(VLOOKUP(Q$2,'TIS Site Config'!$A$4:$AQ$51,3,FALSE)&lt;&gt;"Soft",
          IF(
             AND(VLOOKUP(Q$2,'TIS Site Config'!$A$3:$AQ$51,18,FALSE)="Combined",
                        VLOOKUP(Q$2,'TIS Site Config'!$A$3:$AQ$51,6,FALSE)="Heated"),
                             (VLOOKUP(Q$2,'TIS Site Config'!$A$3:$AQ$51,17,FALSE)-2),0),0)</f>
        <v>2</v>
      </c>
      <c r="R64" s="136">
        <f>IF(VLOOKUP(R$2,'TIS Site Config'!$A$4:$AQ$51,3,FALSE)&lt;&gt;"Soft",
          IF(
             AND(VLOOKUP(R$2,'TIS Site Config'!$A$3:$AQ$51,18,FALSE)="Combined",
                        VLOOKUP(R$2,'TIS Site Config'!$A$3:$AQ$51,6,FALSE)="Heated"),
                             (VLOOKUP(R$2,'TIS Site Config'!$A$3:$AQ$51,17,FALSE)-2),0),0)</f>
        <v>0</v>
      </c>
      <c r="S64" s="21">
        <f>IF(VLOOKUP(S$2,'TIS Site Config'!$A$4:$AQ$51,3,FALSE)&lt;&gt;"Soft",
          IF(
             AND(VLOOKUP(S$2,'TIS Site Config'!$A$3:$AQ$51,18,FALSE)="Combined",
                        VLOOKUP(S$2,'TIS Site Config'!$A$3:$AQ$51,6,FALSE)="Heated"),
                             (VLOOKUP(S$2,'TIS Site Config'!$A$3:$AQ$51,17,FALSE)-2),0),0)</f>
        <v>0</v>
      </c>
      <c r="T64" s="222">
        <f>IF(VLOOKUP(T$2,'TIS Site Config'!$A$4:$AQ$51,3,FALSE)&lt;&gt;"Soft",
          IF(
             AND(VLOOKUP(T$2,'TIS Site Config'!$A$3:$AQ$51,18,FALSE)="Combined",
                        VLOOKUP(T$2,'TIS Site Config'!$A$3:$AQ$51,6,FALSE)="Heated"),
                             (VLOOKUP(T$2,'TIS Site Config'!$A$3:$AQ$51,17,FALSE)-2),0),0)</f>
        <v>0</v>
      </c>
      <c r="U64" s="136">
        <f>IF(VLOOKUP(U$2,'TIS Site Config'!$A$4:$AQ$51,3,FALSE)&lt;&gt;"Soft",
          IF(
             AND(VLOOKUP(U$2,'TIS Site Config'!$A$3:$AQ$51,18,FALSE)="Combined",
                        VLOOKUP(U$2,'TIS Site Config'!$A$3:$AQ$51,6,FALSE)="Heated"),
                             (VLOOKUP(U$2,'TIS Site Config'!$A$3:$AQ$51,17,FALSE)-2),0),0)</f>
        <v>0</v>
      </c>
      <c r="V64" s="222">
        <f>IF(VLOOKUP(V$2,'TIS Site Config'!$A$4:$AQ$51,3,FALSE)&lt;&gt;"Soft",
          IF(
             AND(VLOOKUP(V$2,'TIS Site Config'!$A$3:$AQ$51,18,FALSE)="Combined",
                        VLOOKUP(V$2,'TIS Site Config'!$A$3:$AQ$51,6,FALSE)="Heated"),
                             (VLOOKUP(V$2,'TIS Site Config'!$A$3:$AQ$51,17,FALSE)-2),0),0)</f>
        <v>0</v>
      </c>
      <c r="W64" s="224">
        <f>IF(VLOOKUP(W$2,'TIS Site Config'!$A$4:$AQ$51,3,FALSE)&lt;&gt;"Soft",
          IF(
             AND(VLOOKUP(W$2,'TIS Site Config'!$A$3:$AQ$51,18,FALSE)="Combined",
                        VLOOKUP(W$2,'TIS Site Config'!$A$3:$AQ$51,6,FALSE)="Heated"),
                             (VLOOKUP(W$2,'TIS Site Config'!$A$3:$AQ$51,17,FALSE)-2),0),0)</f>
        <v>4</v>
      </c>
      <c r="X64" s="21">
        <f>IF(VLOOKUP(X$2,'TIS Site Config'!$A$4:$AQ$51,3,FALSE)&lt;&gt;"Soft",
          IF(
             AND(VLOOKUP(X$2,'TIS Site Config'!$A$3:$AQ$51,18,FALSE)="Combined",
                        VLOOKUP(X$2,'TIS Site Config'!$A$3:$AQ$51,6,FALSE)="Heated"),
                             (VLOOKUP(X$2,'TIS Site Config'!$A$3:$AQ$51,17,FALSE)-2),0),0)</f>
        <v>4</v>
      </c>
      <c r="Y64" s="222">
        <f>IF(VLOOKUP(Y$2,'TIS Site Config'!$A$4:$AQ$51,3,FALSE)&lt;&gt;"Soft",
          IF(
             AND(VLOOKUP(Y$2,'TIS Site Config'!$A$3:$AQ$51,18,FALSE)="Combined",
                        VLOOKUP(Y$2,'TIS Site Config'!$A$3:$AQ$51,6,FALSE)="Heated"),
                             (VLOOKUP(Y$2,'TIS Site Config'!$A$3:$AQ$51,17,FALSE)-2),0),0)</f>
        <v>4</v>
      </c>
      <c r="Z64" s="136">
        <f>IF(VLOOKUP(Z$2,'TIS Site Config'!$A$4:$AQ$51,3,FALSE)&lt;&gt;"Soft",
          IF(
             AND(VLOOKUP(Z$2,'TIS Site Config'!$A$3:$AQ$51,18,FALSE)="Combined",
                        VLOOKUP(Z$2,'TIS Site Config'!$A$3:$AQ$51,6,FALSE)="Heated"),
                             (VLOOKUP(Z$2,'TIS Site Config'!$A$3:$AQ$51,17,FALSE)-2),0),0)</f>
        <v>0</v>
      </c>
      <c r="AA64" s="21">
        <f>IF(VLOOKUP(AA$2,'TIS Site Config'!$A$4:$AQ$51,3,FALSE)&lt;&gt;"Soft",
          IF(
             AND(VLOOKUP(AA$2,'TIS Site Config'!$A$3:$AQ$51,18,FALSE)="Combined",
                        VLOOKUP(AA$2,'TIS Site Config'!$A$3:$AQ$51,6,FALSE)="Heated"),
                             (VLOOKUP(AA$2,'TIS Site Config'!$A$3:$AQ$51,17,FALSE)-2),0),0)</f>
        <v>4</v>
      </c>
      <c r="AB64" s="222">
        <f>IF(VLOOKUP(AB$2,'TIS Site Config'!$A$4:$AQ$51,3,FALSE)&lt;&gt;"Soft",
          IF(
             AND(VLOOKUP(AB$2,'TIS Site Config'!$A$3:$AQ$51,18,FALSE)="Combined",
                        VLOOKUP(AB$2,'TIS Site Config'!$A$3:$AQ$51,6,FALSE)="Heated"),
                             (VLOOKUP(AB$2,'TIS Site Config'!$A$3:$AQ$51,17,FALSE)-2),0),0)</f>
        <v>0</v>
      </c>
      <c r="AC64" s="21">
        <f>IF(VLOOKUP(AC$2,'TIS Site Config'!$A$4:$AQ$51,3,FALSE)&lt;&gt;"Soft",
          IF(
             AND(VLOOKUP(AC$2,'TIS Site Config'!$A$3:$AQ$51,18,FALSE)="Combined",
                        VLOOKUP(AC$2,'TIS Site Config'!$A$3:$AQ$51,6,FALSE)="Heated"),
                             (VLOOKUP(AC$2,'TIS Site Config'!$A$3:$AQ$51,17,FALSE)-2),0),0)</f>
        <v>4</v>
      </c>
      <c r="AD64" s="223">
        <f>IF(VLOOKUP(AD$2,'TIS Site Config'!$A$4:$AQ$51,3,FALSE)&lt;&gt;"Soft",
          IF(
             AND(VLOOKUP(AD$2,'TIS Site Config'!$A$3:$AQ$51,18,FALSE)="Combined",
                        VLOOKUP(AD$2,'TIS Site Config'!$A$3:$AQ$51,6,FALSE)="Heated"),
                             (VLOOKUP(AD$2,'TIS Site Config'!$A$3:$AQ$51,17,FALSE)-2),0),0)</f>
        <v>0</v>
      </c>
      <c r="AE64" s="223">
        <f>IF(VLOOKUP(AE$2,'TIS Site Config'!$A$4:$AQ$51,3,FALSE)&lt;&gt;"Soft",
          IF(
             AND(VLOOKUP(AE$2,'TIS Site Config'!$A$3:$AQ$51,18,FALSE)="Combined",
                        VLOOKUP(AE$2,'TIS Site Config'!$A$3:$AQ$51,6,FALSE)="Heated"),
                             (VLOOKUP(AE$2,'TIS Site Config'!$A$3:$AQ$51,17,FALSE)-2),0),0)</f>
        <v>0</v>
      </c>
      <c r="AF64" s="16">
        <f>IF(VLOOKUP(AF$2,'TIS Site Config'!$A$4:$AQ$51,3,FALSE)&lt;&gt;"Soft",
          IF(
             AND(VLOOKUP(AF$2,'TIS Site Config'!$A$3:$AQ$51,18,FALSE)="Combined",
                        VLOOKUP(AF$2,'TIS Site Config'!$A$3:$AQ$51,6,FALSE)="Heated"),
                             (VLOOKUP(AF$2,'TIS Site Config'!$A$3:$AQ$51,17,FALSE)-2),0),0)</f>
        <v>0</v>
      </c>
      <c r="AG64" s="21">
        <f>IF(VLOOKUP(AG$2,'TIS Site Config'!$A$4:$AQ$51,3,FALSE)&lt;&gt;"Soft",
          IF(
             AND(VLOOKUP(AG$2,'TIS Site Config'!$A$3:$AQ$51,18,FALSE)="Combined",
                        VLOOKUP(AG$2,'TIS Site Config'!$A$3:$AQ$51,6,FALSE)="Heated"),
                             (VLOOKUP(AG$2,'TIS Site Config'!$A$3:$AQ$51,17,FALSE)-2),0),0)</f>
        <v>0</v>
      </c>
      <c r="AH64" s="222">
        <f>IF(VLOOKUP(AH$2,'TIS Site Config'!$A$4:$AQ$51,3,FALSE)&lt;&gt;"Soft",
          IF(
             AND(VLOOKUP(AH$2,'TIS Site Config'!$A$3:$AQ$51,18,FALSE)="Combined",
                        VLOOKUP(AH$2,'TIS Site Config'!$A$3:$AQ$51,6,FALSE)="Heated"),
                             (VLOOKUP(AH$2,'TIS Site Config'!$A$3:$AQ$51,17,FALSE)-2),0),0)</f>
        <v>0</v>
      </c>
      <c r="AI64" s="136">
        <f>IF(VLOOKUP(AI$2,'TIS Site Config'!$A$4:$AQ$51,3,FALSE)&lt;&gt;"Soft",
          IF(
             AND(VLOOKUP(AI$2,'TIS Site Config'!$A$3:$AQ$51,18,FALSE)="Combined",
                        VLOOKUP(AI$2,'TIS Site Config'!$A$3:$AQ$51,6,FALSE)="Heated"),
                             (VLOOKUP(AI$2,'TIS Site Config'!$A$3:$AQ$51,17,FALSE)-2),0),0)</f>
        <v>0</v>
      </c>
      <c r="AJ64" s="21">
        <f>IF(VLOOKUP(AJ$2,'TIS Site Config'!$A$4:$AQ$51,3,FALSE)&lt;&gt;"Soft",
          IF(
             AND(VLOOKUP(AJ$2,'TIS Site Config'!$A$3:$AQ$51,18,FALSE)="Combined",
                        VLOOKUP(AJ$2,'TIS Site Config'!$A$3:$AQ$51,6,FALSE)="Heated"),
                             (VLOOKUP(AJ$2,'TIS Site Config'!$A$3:$AQ$51,17,FALSE)-2),0),0)</f>
        <v>0</v>
      </c>
      <c r="AK64" s="222">
        <f>IF(VLOOKUP(AK$2,'TIS Site Config'!$A$4:$AQ$51,3,FALSE)&lt;&gt;"Soft",
          IF(
             AND(VLOOKUP(AK$2,'TIS Site Config'!$A$3:$AQ$51,18,FALSE)="Combined",
                        VLOOKUP(AK$2,'TIS Site Config'!$A$3:$AQ$51,6,FALSE)="Heated"),
                             (VLOOKUP(AK$2,'TIS Site Config'!$A$3:$AQ$51,17,FALSE)-2),0),0)</f>
        <v>2</v>
      </c>
      <c r="AL64" s="136">
        <f>IF(VLOOKUP(AL$2,'TIS Site Config'!$A$4:$AQ$51,3,FALSE)&lt;&gt;"Soft",
          IF(
             AND(VLOOKUP(AL$2,'TIS Site Config'!$A$3:$AQ$51,18,FALSE)="Combined",
                        VLOOKUP(AL$2,'TIS Site Config'!$A$3:$AQ$51,6,FALSE)="Heated"),
                             (VLOOKUP(AL$2,'TIS Site Config'!$A$3:$AQ$51,17,FALSE)-2),0),0)</f>
        <v>0</v>
      </c>
      <c r="AM64" s="21">
        <f>IF(VLOOKUP(AM$2,'TIS Site Config'!$A$4:$AQ$51,3,FALSE)&lt;&gt;"Soft",
          IF(
             AND(VLOOKUP(AM$2,'TIS Site Config'!$A$3:$AQ$51,18,FALSE)="Combined",
                        VLOOKUP(AM$2,'TIS Site Config'!$A$3:$AQ$51,6,FALSE)="Heated"),
                             (VLOOKUP(AM$2,'TIS Site Config'!$A$3:$AQ$51,17,FALSE)-2),0),0)</f>
        <v>0</v>
      </c>
      <c r="AN64" s="222">
        <f>IF(VLOOKUP(AN$2,'TIS Site Config'!$A$4:$AQ$51,3,FALSE)&lt;&gt;"Soft",
          IF(
             AND(VLOOKUP(AN$2,'TIS Site Config'!$A$3:$AQ$51,18,FALSE)="Combined",
                        VLOOKUP(AN$2,'TIS Site Config'!$A$3:$AQ$51,6,FALSE)="Heated"),
                             (VLOOKUP(AN$2,'TIS Site Config'!$A$3:$AQ$51,17,FALSE)-2),0),0)</f>
        <v>3</v>
      </c>
      <c r="AO64" s="136">
        <f>IF(VLOOKUP(AO$2,'TIS Site Config'!$A$4:$AQ$51,3,FALSE)&lt;&gt;"Soft",
          IF(
             AND(VLOOKUP(AO$2,'TIS Site Config'!$A$3:$AQ$51,18,FALSE)="Combined",
                        VLOOKUP(AO$2,'TIS Site Config'!$A$3:$AQ$51,6,FALSE)="Heated"),
                             (VLOOKUP(AO$2,'TIS Site Config'!$A$3:$AQ$51,17,FALSE)-2),0),0)</f>
        <v>0</v>
      </c>
      <c r="AP64" s="21">
        <f>IF(VLOOKUP(AP$2,'TIS Site Config'!$A$4:$AQ$51,3,FALSE)&lt;&gt;"Soft",
          IF(
             AND(VLOOKUP(AP$2,'TIS Site Config'!$A$3:$AQ$51,18,FALSE)="Combined",
                        VLOOKUP(AP$2,'TIS Site Config'!$A$3:$AQ$51,6,FALSE)="Heated"),
                             (VLOOKUP(AP$2,'TIS Site Config'!$A$3:$AQ$51,17,FALSE)-2),0),0)</f>
        <v>0</v>
      </c>
      <c r="AQ64" s="136">
        <f>IF(VLOOKUP(AQ$2,'TIS Site Config'!$A$4:$AQ$51,3,FALSE)&lt;&gt;"Soft",
          IF(
             AND(VLOOKUP(AQ$2,'TIS Site Config'!$A$3:$AQ$51,18,FALSE)="Combined",
                        VLOOKUP(AQ$2,'TIS Site Config'!$A$3:$AQ$51,6,FALSE)="Heated"),
                             (VLOOKUP(AQ$2,'TIS Site Config'!$A$3:$AQ$51,17,FALSE)-2),0),0)</f>
        <v>4</v>
      </c>
      <c r="AR64" s="136">
        <f>IF(VLOOKUP(AR$2,'TIS Site Config'!$A$4:$AQ$51,3,FALSE)&lt;&gt;"Soft",
          IF(
             AND(VLOOKUP(AR$2,'TIS Site Config'!$A$3:$AQ$51,18,FALSE)="Combined",
                        VLOOKUP(AR$2,'TIS Site Config'!$A$3:$AQ$51,6,FALSE)="Heated"),
                             (VLOOKUP(AR$2,'TIS Site Config'!$A$3:$AQ$51,17,FALSE)-2),0),0)</f>
        <v>0</v>
      </c>
      <c r="AS64" s="21">
        <f>IF(VLOOKUP(AS$2,'TIS Site Config'!$A$4:$AQ$51,3,FALSE)&lt;&gt;"Soft",
          IF(
             AND(VLOOKUP(AS$2,'TIS Site Config'!$A$3:$AQ$51,18,FALSE)="Combined",
                        VLOOKUP(AS$2,'TIS Site Config'!$A$3:$AQ$51,6,FALSE)="Heated"),
                             (VLOOKUP(AS$2,'TIS Site Config'!$A$3:$AQ$51,17,FALSE)-2),0),0)</f>
        <v>2</v>
      </c>
      <c r="AT64" s="136">
        <f>IF(VLOOKUP(AT$2,'TIS Site Config'!$A$4:$AQ$51,3,FALSE)&lt;&gt;"Soft",
          IF(
             AND(VLOOKUP(AT$2,'TIS Site Config'!$A$3:$AQ$51,18,FALSE)="Combined",
                        VLOOKUP(AT$2,'TIS Site Config'!$A$3:$AQ$51,6,FALSE)="Heated"),
                             (VLOOKUP(AT$2,'TIS Site Config'!$A$3:$AQ$51,17,FALSE)-2),0),0)</f>
        <v>0</v>
      </c>
      <c r="AU64" s="21">
        <f>IF(VLOOKUP(AU$2,'TIS Site Config'!$A$4:$AQ$51,3,FALSE)&lt;&gt;"Soft",
          IF(
             AND(VLOOKUP(AU$2,'TIS Site Config'!$A$3:$AQ$51,18,FALSE)="Combined",
                        VLOOKUP(AU$2,'TIS Site Config'!$A$3:$AQ$51,6,FALSE)="Heated"),
                             (VLOOKUP(AU$2,'TIS Site Config'!$A$3:$AQ$51,17,FALSE)-2),0),0)</f>
        <v>0</v>
      </c>
      <c r="AV64" s="136">
        <f>IF(VLOOKUP(AV$2,'TIS Site Config'!$A$4:$AQ$51,3,FALSE)&lt;&gt;"Soft",
          IF(
             AND(VLOOKUP(AV$2,'TIS Site Config'!$A$3:$AQ$51,18,FALSE)="Combined",
                        VLOOKUP(AV$2,'TIS Site Config'!$A$3:$AQ$51,6,FALSE)="Heated"),
                             (VLOOKUP(AV$2,'TIS Site Config'!$A$3:$AQ$51,17,FALSE)-2),0),0)</f>
        <v>2</v>
      </c>
      <c r="AW64" s="136">
        <f>IF(VLOOKUP(AW$2,'TIS Site Config'!$A$4:$AQ$51,3,FALSE)&lt;&gt;"Soft",
          IF(
             AND(VLOOKUP(AW$2,'TIS Site Config'!$A$3:$AQ$51,18,FALSE)="Combined",
                        VLOOKUP(AW$2,'TIS Site Config'!$A$3:$AQ$51,6,FALSE)="Heated"),
                             (VLOOKUP(AW$2,'TIS Site Config'!$A$3:$AQ$51,17,FALSE)-2),0),0)</f>
        <v>0</v>
      </c>
      <c r="AX64" s="222">
        <f>IF(VLOOKUP(AX$2,'TIS Site Config'!$A$4:$AQ$51,3,FALSE)&lt;&gt;"Soft",
          IF(
             AND(VLOOKUP(AX$2,'TIS Site Config'!$A$3:$AQ$51,18,FALSE)="Combined",
                        VLOOKUP(AX$2,'TIS Site Config'!$A$3:$AQ$51,6,FALSE)="Heated"),
                             (VLOOKUP(AX$2,'TIS Site Config'!$A$3:$AQ$51,17,FALSE)-2),0),0)</f>
        <v>3</v>
      </c>
      <c r="AY64" s="136">
        <f>IF(VLOOKUP(AY$2,'TIS Site Config'!$A$4:$AQ$51,3,FALSE)&lt;&gt;"Soft",
          IF(
             AND(VLOOKUP(AY$2,'TIS Site Config'!$A$3:$AQ$51,18,FALSE)="Combined",
                        VLOOKUP(AY$2,'TIS Site Config'!$A$3:$AQ$51,6,FALSE)="Heated"),
                             (VLOOKUP(AY$2,'TIS Site Config'!$A$3:$AQ$51,17,FALSE)-2),0),0)</f>
        <v>0</v>
      </c>
      <c r="AZ64" s="21">
        <f>IF(VLOOKUP(AZ$2,'TIS Site Config'!$A$4:$AQ$51,3,FALSE)&lt;&gt;"Soft",
          IF(
             AND(VLOOKUP(AZ$2,'TIS Site Config'!$A$3:$AQ$51,18,FALSE)="Combined",
                        VLOOKUP(AZ$2,'TIS Site Config'!$A$3:$AQ$51,6,FALSE)="Heated"),
                             (VLOOKUP(AZ$2,'TIS Site Config'!$A$3:$AQ$51,17,FALSE)-2),0),0)</f>
        <v>0</v>
      </c>
      <c r="BA64" s="223">
        <f>IF(VLOOKUP(BA$2,'TIS Site Config'!$A$4:$AQ$51,3,FALSE)&lt;&gt;"Soft",
          IF(
             AND(VLOOKUP(BA$2,'TIS Site Config'!$A$3:$AQ$51,18,FALSE)="Combined",
                        VLOOKUP(BA$2,'TIS Site Config'!$A$3:$AQ$51,6,FALSE)="Heated"),
                             (VLOOKUP(BA$2,'TIS Site Config'!$A$3:$AQ$51,17,FALSE)-2),0),0)</f>
        <v>5</v>
      </c>
      <c r="BB64" s="136">
        <f>IF(VLOOKUP(BB$2,'TIS Site Config'!$A$4:$AQ$51,3,FALSE)&lt;&gt;"Soft",
          IF(
             AND(VLOOKUP(BB$2,'TIS Site Config'!$A$3:$AQ$51,18,FALSE)="Combined",
                        VLOOKUP(BB$2,'TIS Site Config'!$A$3:$AQ$51,6,FALSE)="Heated"),
                             (VLOOKUP(BB$2,'TIS Site Config'!$A$3:$AQ$51,17,FALSE)-2),0),0)</f>
        <v>0</v>
      </c>
      <c r="BC64" s="222">
        <f>IF(VLOOKUP(BC$2,'TIS Site Config'!$A$4:$AQ$51,3,FALSE)&lt;&gt;"Soft",
          IF(
             AND(VLOOKUP(BC$2,'TIS Site Config'!$A$3:$AQ$51,18,FALSE)="Combined",
                        VLOOKUP(BC$2,'TIS Site Config'!$A$3:$AQ$51,6,FALSE)="Heated"),
                             (VLOOKUP(BC$2,'TIS Site Config'!$A$3:$AQ$51,17,FALSE)-2),0),0)</f>
        <v>0</v>
      </c>
      <c r="BD64" s="136">
        <f>IF(VLOOKUP(BD$2,'TIS Site Config'!$A$4:$AQ$51,3,FALSE)&lt;&gt;"Soft",
          IF(
             AND(VLOOKUP(BD$2,'TIS Site Config'!$A$3:$AQ$51,18,FALSE)="Combined",
                        VLOOKUP(BD$2,'TIS Site Config'!$A$3:$AQ$51,6,FALSE)="Heated"),
                             (VLOOKUP(BD$2,'TIS Site Config'!$A$3:$AQ$51,17,FALSE)-2),0),0)</f>
        <v>0</v>
      </c>
      <c r="BE64" s="21">
        <f>IF(VLOOKUP(BE$2,'TIS Site Config'!$A$4:$AQ$51,3,FALSE)&lt;&gt;"Soft",
          IF(
             AND(VLOOKUP(BE$2,'TIS Site Config'!$A$3:$AQ$51,18,FALSE)="Combined",
                        VLOOKUP(BE$2,'TIS Site Config'!$A$3:$AQ$51,6,FALSE)="Heated"),
                             (VLOOKUP(BE$2,'TIS Site Config'!$A$3:$AQ$51,17,FALSE)-2),0),0)</f>
        <v>0</v>
      </c>
      <c r="BF64" s="222">
        <f>IF(VLOOKUP(BF$2,'TIS Site Config'!$A$4:$AQ$51,3,FALSE)&lt;&gt;"Soft",
          IF(
             AND(VLOOKUP(BF$2,'TIS Site Config'!$A$3:$AQ$51,18,FALSE)="Combined",
                        VLOOKUP(BF$2,'TIS Site Config'!$A$3:$AQ$51,6,FALSE)="Heated"),
                             (VLOOKUP(BF$2,'TIS Site Config'!$A$3:$AQ$51,17,FALSE)-2),0),0)</f>
        <v>0</v>
      </c>
      <c r="BG64" s="62">
        <f>IF(VLOOKUP(BG$2,'TIS Site Config'!$A$4:$AQ$51,3,FALSE)&lt;&gt;"Soft",
          IF(
             AND(VLOOKUP(BG$2,'TIS Site Config'!$A$3:$AQ$51,18,FALSE)="Combined",
                        VLOOKUP(BG$2,'TIS Site Config'!$A$3:$AQ$51,6,FALSE)="Heated"),
                             (VLOOKUP(BG$2,'TIS Site Config'!$A$3:$AQ$51,17,FALSE)-2),0),0)</f>
        <v>0</v>
      </c>
      <c r="BH64" s="62">
        <f>IF(VLOOKUP(BH$2,'TIS Site Config'!$A$4:$AQ$51,3,FALSE)&lt;&gt;"Soft",
          IF(
             AND(VLOOKUP(BH$2,'TIS Site Config'!$A$3:$AQ$51,18,FALSE)="Combined",
                        VLOOKUP(BH$2,'TIS Site Config'!$A$3:$AQ$51,6,FALSE)="Heated"),
                             (VLOOKUP(BH$2,'TIS Site Config'!$A$3:$AQ$51,17,FALSE)-2),0),0)</f>
        <v>0</v>
      </c>
      <c r="BK64" s="3">
        <v>56</v>
      </c>
      <c r="BL64" s="950" t="b">
        <f t="shared" si="4"/>
        <v>0</v>
      </c>
      <c r="BO64" s="950"/>
    </row>
    <row r="65" spans="1:67" x14ac:dyDescent="0.25">
      <c r="A65" s="1366"/>
      <c r="B65" s="1333"/>
      <c r="C65" s="69" t="s">
        <v>475</v>
      </c>
      <c r="D65" s="91">
        <v>2</v>
      </c>
      <c r="E65" s="85" t="s">
        <v>310</v>
      </c>
      <c r="F65" s="62">
        <f t="shared" si="5"/>
        <v>6</v>
      </c>
      <c r="G65" s="450"/>
      <c r="H65" s="451"/>
      <c r="I65" s="451">
        <v>1</v>
      </c>
      <c r="J65" s="451"/>
      <c r="K65" s="452"/>
      <c r="L65" s="491"/>
      <c r="M65" s="136">
        <f>IF(VLOOKUP(M$2,'TIS Site Config'!$A$4:$AQ$51,3,FALSE)&lt;&gt;"Soft",
          IF(
             AND(VLOOKUP(M$2,'TIS Site Config'!$A$3:$AQ$51,18,FALSE)="Split",
                        VLOOKUP(M$2,'TIS Site Config'!$A$3:$AQ$51,6,FALSE)="Non-heated"),
                             1,0),0)</f>
        <v>0</v>
      </c>
      <c r="N65" s="222">
        <f>IF(VLOOKUP(N$2,'TIS Site Config'!$A$4:$AQ$51,3,FALSE)&lt;&gt;"Soft",
          IF(
             AND(VLOOKUP(N$2,'TIS Site Config'!$A$3:$AQ$51,18,FALSE)="Split",
                        VLOOKUP(N$2,'TIS Site Config'!$A$3:$AQ$51,6,FALSE)="Non-heated"),
                             1,0),0)</f>
        <v>0</v>
      </c>
      <c r="O65" s="225">
        <f>IF(VLOOKUP(O$2,'TIS Site Config'!$A$4:$AQ$51,3,FALSE)&lt;&gt;"Soft",
          IF(
             AND(VLOOKUP(O$2,'TIS Site Config'!$A$3:$AQ$51,18,FALSE)="Split",
                        VLOOKUP(O$2,'TIS Site Config'!$A$3:$AQ$51,6,FALSE)="Non-heated"),
                             1,0),0)</f>
        <v>0</v>
      </c>
      <c r="P65" s="21">
        <f>IF(VLOOKUP(P$2,'TIS Site Config'!$A$4:$AQ$51,3,FALSE)&lt;&gt;"Soft",
          IF(
             AND(VLOOKUP(P$2,'TIS Site Config'!$A$3:$AQ$51,18,FALSE)="Split",
                        VLOOKUP(P$2,'TIS Site Config'!$A$3:$AQ$51,6,FALSE)="Non-heated"),
                             1,0),0)</f>
        <v>0</v>
      </c>
      <c r="Q65" s="222">
        <f>IF(VLOOKUP(Q$2,'TIS Site Config'!$A$4:$AQ$51,3,FALSE)&lt;&gt;"Soft",
          IF(
             AND(VLOOKUP(Q$2,'TIS Site Config'!$A$3:$AQ$51,18,FALSE)="Split",
                        VLOOKUP(Q$2,'TIS Site Config'!$A$3:$AQ$51,6,FALSE)="Non-heated"),
                             1,0),0)</f>
        <v>0</v>
      </c>
      <c r="R65" s="136">
        <f>IF(VLOOKUP(R$2,'TIS Site Config'!$A$4:$AQ$51,3,FALSE)&lt;&gt;"Soft",
          IF(
             AND(VLOOKUP(R$2,'TIS Site Config'!$A$3:$AQ$51,18,FALSE)="Split",
                        VLOOKUP(R$2,'TIS Site Config'!$A$3:$AQ$51,6,FALSE)="Non-heated"),
                             1,0),0)</f>
        <v>0</v>
      </c>
      <c r="S65" s="21">
        <f>IF(VLOOKUP(S$2,'TIS Site Config'!$A$4:$AQ$51,3,FALSE)&lt;&gt;"Soft",
          IF(
             AND(VLOOKUP(S$2,'TIS Site Config'!$A$3:$AQ$51,18,FALSE)="Split",
                        VLOOKUP(S$2,'TIS Site Config'!$A$3:$AQ$51,6,FALSE)="Non-heated"),
                             1,0),0)</f>
        <v>1</v>
      </c>
      <c r="T65" s="222">
        <f>IF(VLOOKUP(T$2,'TIS Site Config'!$A$4:$AQ$51,3,FALSE)&lt;&gt;"Soft",
          IF(
             AND(VLOOKUP(T$2,'TIS Site Config'!$A$3:$AQ$51,18,FALSE)="Split",
                        VLOOKUP(T$2,'TIS Site Config'!$A$3:$AQ$51,6,FALSE)="Non-heated"),
                             1,0),0)</f>
        <v>1</v>
      </c>
      <c r="U65" s="136">
        <f>IF(VLOOKUP(U$2,'TIS Site Config'!$A$4:$AQ$51,3,FALSE)&lt;&gt;"Soft",
          IF(
             AND(VLOOKUP(U$2,'TIS Site Config'!$A$3:$AQ$51,18,FALSE)="Split",
                        VLOOKUP(U$2,'TIS Site Config'!$A$3:$AQ$51,6,FALSE)="Non-heated"),
                             1,0),0)</f>
        <v>1</v>
      </c>
      <c r="V65" s="222">
        <f>IF(VLOOKUP(V$2,'TIS Site Config'!$A$4:$AQ$51,3,FALSE)&lt;&gt;"Soft",
          IF(
             AND(VLOOKUP(V$2,'TIS Site Config'!$A$3:$AQ$51,18,FALSE)="Split",
                        VLOOKUP(V$2,'TIS Site Config'!$A$3:$AQ$51,6,FALSE)="Non-heated"),
                             1,0),0)</f>
        <v>1</v>
      </c>
      <c r="W65" s="224">
        <f>IF(VLOOKUP(W$2,'TIS Site Config'!$A$4:$AQ$51,3,FALSE)&lt;&gt;"Soft",
          IF(
             AND(VLOOKUP(W$2,'TIS Site Config'!$A$3:$AQ$51,18,FALSE)="Split",
                        VLOOKUP(W$2,'TIS Site Config'!$A$3:$AQ$51,6,FALSE)="Non-heated"),
                             1,0),0)</f>
        <v>0</v>
      </c>
      <c r="X65" s="21">
        <f>IF(VLOOKUP(X$2,'TIS Site Config'!$A$4:$AQ$51,3,FALSE)&lt;&gt;"Soft",
          IF(
             AND(VLOOKUP(X$2,'TIS Site Config'!$A$3:$AQ$51,18,FALSE)="Split",
                        VLOOKUP(X$2,'TIS Site Config'!$A$3:$AQ$51,6,FALSE)="Non-heated"),
                             1,0),0)</f>
        <v>0</v>
      </c>
      <c r="Y65" s="222">
        <f>IF(VLOOKUP(Y$2,'TIS Site Config'!$A$4:$AQ$51,3,FALSE)&lt;&gt;"Soft",
          IF(
             AND(VLOOKUP(Y$2,'TIS Site Config'!$A$3:$AQ$51,18,FALSE)="Split",
                        VLOOKUP(Y$2,'TIS Site Config'!$A$3:$AQ$51,6,FALSE)="Non-heated"),
                             1,0),0)</f>
        <v>0</v>
      </c>
      <c r="Z65" s="136">
        <f>IF(VLOOKUP(Z$2,'TIS Site Config'!$A$4:$AQ$51,3,FALSE)&lt;&gt;"Soft",
          IF(
             AND(VLOOKUP(Z$2,'TIS Site Config'!$A$3:$AQ$51,18,FALSE)="Split",
                        VLOOKUP(Z$2,'TIS Site Config'!$A$3:$AQ$51,6,FALSE)="Non-heated"),
                             1,0),0)</f>
        <v>0</v>
      </c>
      <c r="AA65" s="21">
        <f>IF(VLOOKUP(AA$2,'TIS Site Config'!$A$4:$AQ$51,3,FALSE)&lt;&gt;"Soft",
          IF(
             AND(VLOOKUP(AA$2,'TIS Site Config'!$A$3:$AQ$51,18,FALSE)="Split",
                        VLOOKUP(AA$2,'TIS Site Config'!$A$3:$AQ$51,6,FALSE)="Non-heated"),
                             1,0),0)</f>
        <v>0</v>
      </c>
      <c r="AB65" s="222">
        <f>IF(VLOOKUP(AB$2,'TIS Site Config'!$A$4:$AQ$51,3,FALSE)&lt;&gt;"Soft",
          IF(
             AND(VLOOKUP(AB$2,'TIS Site Config'!$A$3:$AQ$51,18,FALSE)="Split",
                        VLOOKUP(AB$2,'TIS Site Config'!$A$3:$AQ$51,6,FALSE)="Non-heated"),
                             1,0),0)</f>
        <v>0</v>
      </c>
      <c r="AC65" s="21">
        <f>IF(VLOOKUP(AC$2,'TIS Site Config'!$A$4:$AQ$51,3,FALSE)&lt;&gt;"Soft",
          IF(
             AND(VLOOKUP(AC$2,'TIS Site Config'!$A$3:$AQ$51,18,FALSE)="Split",
                        VLOOKUP(AC$2,'TIS Site Config'!$A$3:$AQ$51,6,FALSE)="Non-heated"),
                             1,0),0)</f>
        <v>0</v>
      </c>
      <c r="AD65" s="223">
        <f>IF(VLOOKUP(AD$2,'TIS Site Config'!$A$4:$AQ$51,3,FALSE)&lt;&gt;"Soft",
          IF(
             AND(VLOOKUP(AD$2,'TIS Site Config'!$A$3:$AQ$51,18,FALSE)="Split",
                        VLOOKUP(AD$2,'TIS Site Config'!$A$3:$AQ$51,6,FALSE)="Non-heated"),
                             1,0),0)</f>
        <v>0</v>
      </c>
      <c r="AE65" s="223">
        <f>IF(VLOOKUP(AE$2,'TIS Site Config'!$A$4:$AQ$51,3,FALSE)&lt;&gt;"Soft",
          IF(
             AND(VLOOKUP(AE$2,'TIS Site Config'!$A$3:$AQ$51,18,FALSE)="Split",
                        VLOOKUP(AE$2,'TIS Site Config'!$A$3:$AQ$51,6,FALSE)="Non-heated"),
                             1,0),0)</f>
        <v>0</v>
      </c>
      <c r="AF65" s="16">
        <f>IF(VLOOKUP(AF$2,'TIS Site Config'!$A$4:$AQ$51,3,FALSE)&lt;&gt;"Soft",
          IF(
             AND(VLOOKUP(AF$2,'TIS Site Config'!$A$3:$AQ$51,18,FALSE)="Split",
                        VLOOKUP(AF$2,'TIS Site Config'!$A$3:$AQ$51,6,FALSE)="Non-heated"),
                             1,0),0)</f>
        <v>1</v>
      </c>
      <c r="AG65" s="21">
        <f>IF(VLOOKUP(AG$2,'TIS Site Config'!$A$4:$AQ$51,3,FALSE)&lt;&gt;"Soft",
          IF(
             AND(VLOOKUP(AG$2,'TIS Site Config'!$A$3:$AQ$51,18,FALSE)="Split",
                        VLOOKUP(AG$2,'TIS Site Config'!$A$3:$AQ$51,6,FALSE)="Non-heated"),
                             1,0),0)</f>
        <v>0</v>
      </c>
      <c r="AH65" s="222">
        <f>IF(VLOOKUP(AH$2,'TIS Site Config'!$A$4:$AQ$51,3,FALSE)&lt;&gt;"Soft",
          IF(
             AND(VLOOKUP(AH$2,'TIS Site Config'!$A$3:$AQ$51,18,FALSE)="Split",
                        VLOOKUP(AH$2,'TIS Site Config'!$A$3:$AQ$51,6,FALSE)="Non-heated"),
                             1,0),0)</f>
        <v>1</v>
      </c>
      <c r="AI65" s="136">
        <f>IF(VLOOKUP(AI$2,'TIS Site Config'!$A$4:$AQ$51,3,FALSE)&lt;&gt;"Soft",
          IF(
             AND(VLOOKUP(AI$2,'TIS Site Config'!$A$3:$AQ$51,18,FALSE)="Split",
                        VLOOKUP(AI$2,'TIS Site Config'!$A$3:$AQ$51,6,FALSE)="Non-heated"),
                             1,0),0)</f>
        <v>0</v>
      </c>
      <c r="AJ65" s="21">
        <f>IF(VLOOKUP(AJ$2,'TIS Site Config'!$A$4:$AQ$51,3,FALSE)&lt;&gt;"Soft",
          IF(
             AND(VLOOKUP(AJ$2,'TIS Site Config'!$A$3:$AQ$51,18,FALSE)="Split",
                        VLOOKUP(AJ$2,'TIS Site Config'!$A$3:$AQ$51,6,FALSE)="Non-heated"),
                             1,0),0)</f>
        <v>0</v>
      </c>
      <c r="AK65" s="222">
        <f>IF(VLOOKUP(AK$2,'TIS Site Config'!$A$4:$AQ$51,3,FALSE)&lt;&gt;"Soft",
          IF(
             AND(VLOOKUP(AK$2,'TIS Site Config'!$A$3:$AQ$51,18,FALSE)="Split",
                        VLOOKUP(AK$2,'TIS Site Config'!$A$3:$AQ$51,6,FALSE)="Non-heated"),
                             1,0),0)</f>
        <v>0</v>
      </c>
      <c r="AL65" s="136">
        <f>IF(VLOOKUP(AL$2,'TIS Site Config'!$A$4:$AQ$51,3,FALSE)&lt;&gt;"Soft",
          IF(
             AND(VLOOKUP(AL$2,'TIS Site Config'!$A$3:$AQ$51,18,FALSE)="Split",
                        VLOOKUP(AL$2,'TIS Site Config'!$A$3:$AQ$51,6,FALSE)="Non-heated"),
                             1,0),0)</f>
        <v>0</v>
      </c>
      <c r="AM65" s="21">
        <f>IF(VLOOKUP(AM$2,'TIS Site Config'!$A$4:$AQ$51,3,FALSE)&lt;&gt;"Soft",
          IF(
             AND(VLOOKUP(AM$2,'TIS Site Config'!$A$3:$AQ$51,18,FALSE)="Split",
                        VLOOKUP(AM$2,'TIS Site Config'!$A$3:$AQ$51,6,FALSE)="Non-heated"),
                             1,0),0)</f>
        <v>0</v>
      </c>
      <c r="AN65" s="222">
        <f>IF(VLOOKUP(AN$2,'TIS Site Config'!$A$4:$AQ$51,3,FALSE)&lt;&gt;"Soft",
          IF(
             AND(VLOOKUP(AN$2,'TIS Site Config'!$A$3:$AQ$51,18,FALSE)="Split",
                        VLOOKUP(AN$2,'TIS Site Config'!$A$3:$AQ$51,6,FALSE)="Non-heated"),
                             1,0),0)</f>
        <v>0</v>
      </c>
      <c r="AO65" s="136">
        <f>IF(VLOOKUP(AO$2,'TIS Site Config'!$A$4:$AQ$51,3,FALSE)&lt;&gt;"Soft",
          IF(
             AND(VLOOKUP(AO$2,'TIS Site Config'!$A$3:$AQ$51,18,FALSE)="Split",
                        VLOOKUP(AO$2,'TIS Site Config'!$A$3:$AQ$51,6,FALSE)="Non-heated"),
                             1,0),0)</f>
        <v>0</v>
      </c>
      <c r="AP65" s="21">
        <f>IF(VLOOKUP(AP$2,'TIS Site Config'!$A$4:$AQ$51,3,FALSE)&lt;&gt;"Soft",
          IF(
             AND(VLOOKUP(AP$2,'TIS Site Config'!$A$3:$AQ$51,18,FALSE)="Split",
                        VLOOKUP(AP$2,'TIS Site Config'!$A$3:$AQ$51,6,FALSE)="Non-heated"),
                             1,0),0)</f>
        <v>0</v>
      </c>
      <c r="AQ65" s="136">
        <f>IF(VLOOKUP(AQ$2,'TIS Site Config'!$A$4:$AQ$51,3,FALSE)&lt;&gt;"Soft",
          IF(
             AND(VLOOKUP(AQ$2,'TIS Site Config'!$A$3:$AQ$51,18,FALSE)="Split",
                        VLOOKUP(AQ$2,'TIS Site Config'!$A$3:$AQ$51,6,FALSE)="Non-heated"),
                             1,0),0)</f>
        <v>0</v>
      </c>
      <c r="AR65" s="136">
        <f>IF(VLOOKUP(AR$2,'TIS Site Config'!$A$4:$AQ$51,3,FALSE)&lt;&gt;"Soft",
          IF(
             AND(VLOOKUP(AR$2,'TIS Site Config'!$A$3:$AQ$51,18,FALSE)="Split",
                        VLOOKUP(AR$2,'TIS Site Config'!$A$3:$AQ$51,6,FALSE)="Non-heated"),
                             1,0),0)</f>
        <v>0</v>
      </c>
      <c r="AS65" s="21">
        <f>IF(VLOOKUP(AS$2,'TIS Site Config'!$A$4:$AQ$51,3,FALSE)&lt;&gt;"Soft",
          IF(
             AND(VLOOKUP(AS$2,'TIS Site Config'!$A$3:$AQ$51,18,FALSE)="Split",
                        VLOOKUP(AS$2,'TIS Site Config'!$A$3:$AQ$51,6,FALSE)="Non-heated"),
                             1,0),0)</f>
        <v>0</v>
      </c>
      <c r="AT65" s="136">
        <f>IF(VLOOKUP(AT$2,'TIS Site Config'!$A$4:$AQ$51,3,FALSE)&lt;&gt;"Soft",
          IF(
             AND(VLOOKUP(AT$2,'TIS Site Config'!$A$3:$AQ$51,18,FALSE)="Split",
                        VLOOKUP(AT$2,'TIS Site Config'!$A$3:$AQ$51,6,FALSE)="Non-heated"),
                             1,0),0)</f>
        <v>0</v>
      </c>
      <c r="AU65" s="21">
        <f>IF(VLOOKUP(AU$2,'TIS Site Config'!$A$4:$AQ$51,3,FALSE)&lt;&gt;"Soft",
          IF(
             AND(VLOOKUP(AU$2,'TIS Site Config'!$A$3:$AQ$51,18,FALSE)="Split",
                        VLOOKUP(AU$2,'TIS Site Config'!$A$3:$AQ$51,6,FALSE)="Non-heated"),
                             1,0),0)</f>
        <v>0</v>
      </c>
      <c r="AV65" s="136">
        <f>IF(VLOOKUP(AV$2,'TIS Site Config'!$A$4:$AQ$51,3,FALSE)&lt;&gt;"Soft",
          IF(
             AND(VLOOKUP(AV$2,'TIS Site Config'!$A$3:$AQ$51,18,FALSE)="Split",
                        VLOOKUP(AV$2,'TIS Site Config'!$A$3:$AQ$51,6,FALSE)="Non-heated"),
                             1,0),0)</f>
        <v>0</v>
      </c>
      <c r="AW65" s="136">
        <f>IF(VLOOKUP(AW$2,'TIS Site Config'!$A$4:$AQ$51,3,FALSE)&lt;&gt;"Soft",
          IF(
             AND(VLOOKUP(AW$2,'TIS Site Config'!$A$3:$AQ$51,18,FALSE)="Split",
                        VLOOKUP(AW$2,'TIS Site Config'!$A$3:$AQ$51,6,FALSE)="Non-heated"),
                             1,0),0)</f>
        <v>0</v>
      </c>
      <c r="AX65" s="222">
        <f>IF(VLOOKUP(AX$2,'TIS Site Config'!$A$4:$AQ$51,3,FALSE)&lt;&gt;"Soft",
          IF(
             AND(VLOOKUP(AX$2,'TIS Site Config'!$A$3:$AQ$51,18,FALSE)="Split",
                        VLOOKUP(AX$2,'TIS Site Config'!$A$3:$AQ$51,6,FALSE)="Non-heated"),
                             1,0),0)</f>
        <v>0</v>
      </c>
      <c r="AY65" s="136">
        <f>IF(VLOOKUP(AY$2,'TIS Site Config'!$A$4:$AQ$51,3,FALSE)&lt;&gt;"Soft",
          IF(
             AND(VLOOKUP(AY$2,'TIS Site Config'!$A$3:$AQ$51,18,FALSE)="Split",
                        VLOOKUP(AY$2,'TIS Site Config'!$A$3:$AQ$51,6,FALSE)="Non-heated"),
                             1,0),0)</f>
        <v>0</v>
      </c>
      <c r="AZ65" s="21">
        <f>IF(VLOOKUP(AZ$2,'TIS Site Config'!$A$4:$AQ$51,3,FALSE)&lt;&gt;"Soft",
          IF(
             AND(VLOOKUP(AZ$2,'TIS Site Config'!$A$3:$AQ$51,18,FALSE)="Split",
                        VLOOKUP(AZ$2,'TIS Site Config'!$A$3:$AQ$51,6,FALSE)="Non-heated"),
                             1,0),0)</f>
        <v>0</v>
      </c>
      <c r="BA65" s="223">
        <f>IF(VLOOKUP(BA$2,'TIS Site Config'!$A$4:$AQ$51,3,FALSE)&lt;&gt;"Soft",
          IF(
             AND(VLOOKUP(BA$2,'TIS Site Config'!$A$3:$AQ$51,18,FALSE)="Split",
                        VLOOKUP(BA$2,'TIS Site Config'!$A$3:$AQ$51,6,FALSE)="Non-heated"),
                             1,0),0)</f>
        <v>0</v>
      </c>
      <c r="BB65" s="136">
        <f>IF(VLOOKUP(BB$2,'TIS Site Config'!$A$4:$AQ$51,3,FALSE)&lt;&gt;"Soft",
          IF(
             AND(VLOOKUP(BB$2,'TIS Site Config'!$A$3:$AQ$51,18,FALSE)="Split",
                        VLOOKUP(BB$2,'TIS Site Config'!$A$3:$AQ$51,6,FALSE)="Non-heated"),
                             1,0),0)</f>
        <v>0</v>
      </c>
      <c r="BC65" s="222">
        <f>IF(VLOOKUP(BC$2,'TIS Site Config'!$A$4:$AQ$51,3,FALSE)&lt;&gt;"Soft",
          IF(
             AND(VLOOKUP(BC$2,'TIS Site Config'!$A$3:$AQ$51,18,FALSE)="Split",
                        VLOOKUP(BC$2,'TIS Site Config'!$A$3:$AQ$51,6,FALSE)="Non-heated"),
                             1,0),0)</f>
        <v>0</v>
      </c>
      <c r="BD65" s="136">
        <f>IF(VLOOKUP(BD$2,'TIS Site Config'!$A$4:$AQ$51,3,FALSE)&lt;&gt;"Soft",
          IF(
             AND(VLOOKUP(BD$2,'TIS Site Config'!$A$3:$AQ$51,18,FALSE)="Split",
                        VLOOKUP(BD$2,'TIS Site Config'!$A$3:$AQ$51,6,FALSE)="Non-heated"),
                             1,0),0)</f>
        <v>0</v>
      </c>
      <c r="BE65" s="21">
        <f>IF(VLOOKUP(BE$2,'TIS Site Config'!$A$4:$AQ$51,3,FALSE)&lt;&gt;"Soft",
          IF(
             AND(VLOOKUP(BE$2,'TIS Site Config'!$A$3:$AQ$51,18,FALSE)="Split",
                        VLOOKUP(BE$2,'TIS Site Config'!$A$3:$AQ$51,6,FALSE)="Non-heated"),
                             1,0),0)</f>
        <v>0</v>
      </c>
      <c r="BF65" s="222">
        <f>IF(VLOOKUP(BF$2,'TIS Site Config'!$A$4:$AQ$51,3,FALSE)&lt;&gt;"Soft",
          IF(
             AND(VLOOKUP(BF$2,'TIS Site Config'!$A$3:$AQ$51,18,FALSE)="Split",
                        VLOOKUP(BF$2,'TIS Site Config'!$A$3:$AQ$51,6,FALSE)="Non-heated"),
                             1,0),0)</f>
        <v>0</v>
      </c>
      <c r="BG65" s="62">
        <f>IF(VLOOKUP(BG$2,'TIS Site Config'!$A$4:$AQ$51,3,FALSE)&lt;&gt;"Soft",
          IF(
             AND(VLOOKUP(BG$2,'TIS Site Config'!$A$3:$AQ$51,18,FALSE)="Split",
                        VLOOKUP(BG$2,'TIS Site Config'!$A$3:$AQ$51,6,FALSE)="Non-heated"),
                             1,0),0)</f>
        <v>0</v>
      </c>
      <c r="BH65" s="62">
        <f>IF(VLOOKUP(BH$2,'TIS Site Config'!$A$4:$AQ$51,3,FALSE)&lt;&gt;"Soft",
          IF(
             AND(VLOOKUP(BH$2,'TIS Site Config'!$A$3:$AQ$51,18,FALSE)="Split",
                        VLOOKUP(BH$2,'TIS Site Config'!$A$3:$AQ$51,6,FALSE)="Non-heated"),
                             1,0),0)</f>
        <v>0</v>
      </c>
      <c r="BK65" s="3">
        <v>8</v>
      </c>
      <c r="BL65" s="950" t="b">
        <f t="shared" si="4"/>
        <v>0</v>
      </c>
      <c r="BO65" s="950"/>
    </row>
    <row r="66" spans="1:67" x14ac:dyDescent="0.25">
      <c r="A66" s="1366"/>
      <c r="B66" s="1333"/>
      <c r="C66" s="69" t="s">
        <v>476</v>
      </c>
      <c r="D66" s="91">
        <v>2</v>
      </c>
      <c r="E66" s="85" t="s">
        <v>311</v>
      </c>
      <c r="F66" s="62">
        <f t="shared" si="5"/>
        <v>15</v>
      </c>
      <c r="G66" s="450"/>
      <c r="H66" s="451"/>
      <c r="I66" s="451">
        <v>1</v>
      </c>
      <c r="J66" s="451"/>
      <c r="K66" s="452"/>
      <c r="L66" s="491"/>
      <c r="M66" s="136">
        <f>IF(VLOOKUP(M$2,'TIS Site Config'!$A$4:$AQ$51,3,FALSE)&lt;&gt;"Soft",
          IF(
                       AND(VLOOKUP(M$2,'TIS Site Config'!$A$3:$AQ$51,18,FALSE)="Split",
                        VLOOKUP(M$2,'TIS Site Config'!$A$3:$AQ$51,6,FALSE)="Heated"),
                              1,0),0)</f>
        <v>1</v>
      </c>
      <c r="N66" s="222">
        <f>IF(VLOOKUP(N$2,'TIS Site Config'!$A$4:$AQ$51,3,FALSE)&lt;&gt;"Soft",
          IF(
                       AND(VLOOKUP(N$2,'TIS Site Config'!$A$3:$AQ$51,18,FALSE)="Split",
                        VLOOKUP(N$2,'TIS Site Config'!$A$3:$AQ$51,6,FALSE)="Heated"),
                              1,0),0)</f>
        <v>0</v>
      </c>
      <c r="O66" s="225">
        <f>IF(VLOOKUP(O$2,'TIS Site Config'!$A$4:$AQ$51,3,FALSE)&lt;&gt;"Soft",
          IF(
                       AND(VLOOKUP(O$2,'TIS Site Config'!$A$3:$AQ$51,18,FALSE)="Split",
                        VLOOKUP(O$2,'TIS Site Config'!$A$3:$AQ$51,6,FALSE)="Heated"),
                              1,0),0)</f>
        <v>1</v>
      </c>
      <c r="P66" s="21">
        <f>IF(VLOOKUP(P$2,'TIS Site Config'!$A$4:$AQ$51,3,FALSE)&lt;&gt;"Soft",
          IF(
                       AND(VLOOKUP(P$2,'TIS Site Config'!$A$3:$AQ$51,18,FALSE)="Split",
                        VLOOKUP(P$2,'TIS Site Config'!$A$3:$AQ$51,6,FALSE)="Heated"),
                              1,0),0)</f>
        <v>0</v>
      </c>
      <c r="Q66" s="222">
        <f>IF(VLOOKUP(Q$2,'TIS Site Config'!$A$4:$AQ$51,3,FALSE)&lt;&gt;"Soft",
          IF(
                       AND(VLOOKUP(Q$2,'TIS Site Config'!$A$3:$AQ$51,18,FALSE)="Split",
                        VLOOKUP(Q$2,'TIS Site Config'!$A$3:$AQ$51,6,FALSE)="Heated"),
                              1,0),0)</f>
        <v>0</v>
      </c>
      <c r="R66" s="136">
        <f>IF(VLOOKUP(R$2,'TIS Site Config'!$A$4:$AQ$51,3,FALSE)&lt;&gt;"Soft",
          IF(
                       AND(VLOOKUP(R$2,'TIS Site Config'!$A$3:$AQ$51,18,FALSE)="Split",
                        VLOOKUP(R$2,'TIS Site Config'!$A$3:$AQ$51,6,FALSE)="Heated"),
                              1,0),0)</f>
        <v>0</v>
      </c>
      <c r="S66" s="21">
        <f>IF(VLOOKUP(S$2,'TIS Site Config'!$A$4:$AQ$51,3,FALSE)&lt;&gt;"Soft",
          IF(
                       AND(VLOOKUP(S$2,'TIS Site Config'!$A$3:$AQ$51,18,FALSE)="Split",
                        VLOOKUP(S$2,'TIS Site Config'!$A$3:$AQ$51,6,FALSE)="Heated"),
                              1,0),0)</f>
        <v>0</v>
      </c>
      <c r="T66" s="222">
        <f>IF(VLOOKUP(T$2,'TIS Site Config'!$A$4:$AQ$51,3,FALSE)&lt;&gt;"Soft",
          IF(
                       AND(VLOOKUP(T$2,'TIS Site Config'!$A$3:$AQ$51,18,FALSE)="Split",
                        VLOOKUP(T$2,'TIS Site Config'!$A$3:$AQ$51,6,FALSE)="Heated"),
                              1,0),0)</f>
        <v>0</v>
      </c>
      <c r="U66" s="136">
        <f>IF(VLOOKUP(U$2,'TIS Site Config'!$A$4:$AQ$51,3,FALSE)&lt;&gt;"Soft",
          IF(
                       AND(VLOOKUP(U$2,'TIS Site Config'!$A$3:$AQ$51,18,FALSE)="Split",
                        VLOOKUP(U$2,'TIS Site Config'!$A$3:$AQ$51,6,FALSE)="Heated"),
                              1,0),0)</f>
        <v>0</v>
      </c>
      <c r="V66" s="222">
        <f>IF(VLOOKUP(V$2,'TIS Site Config'!$A$4:$AQ$51,3,FALSE)&lt;&gt;"Soft",
          IF(
                       AND(VLOOKUP(V$2,'TIS Site Config'!$A$3:$AQ$51,18,FALSE)="Split",
                        VLOOKUP(V$2,'TIS Site Config'!$A$3:$AQ$51,6,FALSE)="Heated"),
                              1,0),0)</f>
        <v>0</v>
      </c>
      <c r="W66" s="224">
        <f>IF(VLOOKUP(W$2,'TIS Site Config'!$A$4:$AQ$51,3,FALSE)&lt;&gt;"Soft",
          IF(
                       AND(VLOOKUP(W$2,'TIS Site Config'!$A$3:$AQ$51,18,FALSE)="Split",
                        VLOOKUP(W$2,'TIS Site Config'!$A$3:$AQ$51,6,FALSE)="Heated"),
                              1,0),0)</f>
        <v>0</v>
      </c>
      <c r="X66" s="21">
        <f>IF(VLOOKUP(X$2,'TIS Site Config'!$A$4:$AQ$51,3,FALSE)&lt;&gt;"Soft",
          IF(
                       AND(VLOOKUP(X$2,'TIS Site Config'!$A$3:$AQ$51,18,FALSE)="Split",
                        VLOOKUP(X$2,'TIS Site Config'!$A$3:$AQ$51,6,FALSE)="Heated"),
                              1,0),0)</f>
        <v>0</v>
      </c>
      <c r="Y66" s="222">
        <f>IF(VLOOKUP(Y$2,'TIS Site Config'!$A$4:$AQ$51,3,FALSE)&lt;&gt;"Soft",
          IF(
                       AND(VLOOKUP(Y$2,'TIS Site Config'!$A$3:$AQ$51,18,FALSE)="Split",
                        VLOOKUP(Y$2,'TIS Site Config'!$A$3:$AQ$51,6,FALSE)="Heated"),
                              1,0),0)</f>
        <v>0</v>
      </c>
      <c r="Z66" s="136">
        <f>IF(VLOOKUP(Z$2,'TIS Site Config'!$A$4:$AQ$51,3,FALSE)&lt;&gt;"Soft",
          IF(
                       AND(VLOOKUP(Z$2,'TIS Site Config'!$A$3:$AQ$51,18,FALSE)="Split",
                        VLOOKUP(Z$2,'TIS Site Config'!$A$3:$AQ$51,6,FALSE)="Heated"),
                              1,0),0)</f>
        <v>1</v>
      </c>
      <c r="AA66" s="21">
        <f>IF(VLOOKUP(AA$2,'TIS Site Config'!$A$4:$AQ$51,3,FALSE)&lt;&gt;"Soft",
          IF(
                       AND(VLOOKUP(AA$2,'TIS Site Config'!$A$3:$AQ$51,18,FALSE)="Split",
                        VLOOKUP(AA$2,'TIS Site Config'!$A$3:$AQ$51,6,FALSE)="Heated"),
                              1,0),0)</f>
        <v>0</v>
      </c>
      <c r="AB66" s="222">
        <f>IF(VLOOKUP(AB$2,'TIS Site Config'!$A$4:$AQ$51,3,FALSE)&lt;&gt;"Soft",
          IF(
                       AND(VLOOKUP(AB$2,'TIS Site Config'!$A$3:$AQ$51,18,FALSE)="Split",
                        VLOOKUP(AB$2,'TIS Site Config'!$A$3:$AQ$51,6,FALSE)="Heated"),
                              1,0),0)</f>
        <v>1</v>
      </c>
      <c r="AC66" s="21">
        <f>IF(VLOOKUP(AC$2,'TIS Site Config'!$A$4:$AQ$51,3,FALSE)&lt;&gt;"Soft",
          IF(
                       AND(VLOOKUP(AC$2,'TIS Site Config'!$A$3:$AQ$51,18,FALSE)="Split",
                        VLOOKUP(AC$2,'TIS Site Config'!$A$3:$AQ$51,6,FALSE)="Heated"),
                              1,0),0)</f>
        <v>0</v>
      </c>
      <c r="AD66" s="223">
        <f>IF(VLOOKUP(AD$2,'TIS Site Config'!$A$4:$AQ$51,3,FALSE)&lt;&gt;"Soft",
          IF(
                       AND(VLOOKUP(AD$2,'TIS Site Config'!$A$3:$AQ$51,18,FALSE)="Split",
                        VLOOKUP(AD$2,'TIS Site Config'!$A$3:$AQ$51,6,FALSE)="Heated"),
                              1,0),0)</f>
        <v>1</v>
      </c>
      <c r="AE66" s="223">
        <f>IF(VLOOKUP(AE$2,'TIS Site Config'!$A$4:$AQ$51,3,FALSE)&lt;&gt;"Soft",
          IF(
                       AND(VLOOKUP(AE$2,'TIS Site Config'!$A$3:$AQ$51,18,FALSE)="Split",
                        VLOOKUP(AE$2,'TIS Site Config'!$A$3:$AQ$51,6,FALSE)="Heated"),
                              1,0),0)</f>
        <v>1</v>
      </c>
      <c r="AF66" s="16">
        <f>IF(VLOOKUP(AF$2,'TIS Site Config'!$A$4:$AQ$51,3,FALSE)&lt;&gt;"Soft",
          IF(
                       AND(VLOOKUP(AF$2,'TIS Site Config'!$A$3:$AQ$51,18,FALSE)="Split",
                        VLOOKUP(AF$2,'TIS Site Config'!$A$3:$AQ$51,6,FALSE)="Heated"),
                              1,0),0)</f>
        <v>0</v>
      </c>
      <c r="AG66" s="21">
        <f>IF(VLOOKUP(AG$2,'TIS Site Config'!$A$4:$AQ$51,3,FALSE)&lt;&gt;"Soft",
          IF(
                       AND(VLOOKUP(AG$2,'TIS Site Config'!$A$3:$AQ$51,18,FALSE)="Split",
                        VLOOKUP(AG$2,'TIS Site Config'!$A$3:$AQ$51,6,FALSE)="Heated"),
                              1,0),0)</f>
        <v>0</v>
      </c>
      <c r="AH66" s="222">
        <f>IF(VLOOKUP(AH$2,'TIS Site Config'!$A$4:$AQ$51,3,FALSE)&lt;&gt;"Soft",
          IF(
                       AND(VLOOKUP(AH$2,'TIS Site Config'!$A$3:$AQ$51,18,FALSE)="Split",
                        VLOOKUP(AH$2,'TIS Site Config'!$A$3:$AQ$51,6,FALSE)="Heated"),
                              1,0),0)</f>
        <v>0</v>
      </c>
      <c r="AI66" s="136">
        <f>IF(VLOOKUP(AI$2,'TIS Site Config'!$A$4:$AQ$51,3,FALSE)&lt;&gt;"Soft",
          IF(
                       AND(VLOOKUP(AI$2,'TIS Site Config'!$A$3:$AQ$51,18,FALSE)="Split",
                        VLOOKUP(AI$2,'TIS Site Config'!$A$3:$AQ$51,6,FALSE)="Heated"),
                              1,0),0)</f>
        <v>1</v>
      </c>
      <c r="AJ66" s="21">
        <f>IF(VLOOKUP(AJ$2,'TIS Site Config'!$A$4:$AQ$51,3,FALSE)&lt;&gt;"Soft",
          IF(
                       AND(VLOOKUP(AJ$2,'TIS Site Config'!$A$3:$AQ$51,18,FALSE)="Split",
                        VLOOKUP(AJ$2,'TIS Site Config'!$A$3:$AQ$51,6,FALSE)="Heated"),
                              1,0),0)</f>
        <v>1</v>
      </c>
      <c r="AK66" s="222">
        <f>IF(VLOOKUP(AK$2,'TIS Site Config'!$A$4:$AQ$51,3,FALSE)&lt;&gt;"Soft",
          IF(
                       AND(VLOOKUP(AK$2,'TIS Site Config'!$A$3:$AQ$51,18,FALSE)="Split",
                        VLOOKUP(AK$2,'TIS Site Config'!$A$3:$AQ$51,6,FALSE)="Heated"),
                              1,0),0)</f>
        <v>0</v>
      </c>
      <c r="AL66" s="1009">
        <f>IF(VLOOKUP(AL$2,'TIS Site Config'!$A$4:$AQ$51,3,FALSE)&lt;&gt;"Soft",
          IF(
                       AND(VLOOKUP(AL$2,'TIS Site Config'!$A$3:$AQ$51,18,FALSE)="Split",
                        VLOOKUP(AL$2,'TIS Site Config'!$A$3:$AQ$51,6,FALSE)="Heated"),
                              1,0),0)</f>
        <v>1</v>
      </c>
      <c r="AM66" s="21">
        <f>IF(VLOOKUP(AM$2,'TIS Site Config'!$A$4:$AQ$51,3,FALSE)&lt;&gt;"Soft",
          IF(
                       AND(VLOOKUP(AM$2,'TIS Site Config'!$A$3:$AQ$51,18,FALSE)="Split",
                        VLOOKUP(AM$2,'TIS Site Config'!$A$3:$AQ$51,6,FALSE)="Heated"),
                              1,0),0)</f>
        <v>1</v>
      </c>
      <c r="AN66" s="222">
        <f>IF(VLOOKUP(AN$2,'TIS Site Config'!$A$4:$AQ$51,3,FALSE)&lt;&gt;"Soft",
          IF(
                       AND(VLOOKUP(AN$2,'TIS Site Config'!$A$3:$AQ$51,18,FALSE)="Split",
                        VLOOKUP(AN$2,'TIS Site Config'!$A$3:$AQ$51,6,FALSE)="Heated"),
                              1,0),0)</f>
        <v>0</v>
      </c>
      <c r="AO66" s="136">
        <f>IF(VLOOKUP(AO$2,'TIS Site Config'!$A$4:$AQ$51,3,FALSE)&lt;&gt;"Soft",
          IF(
                       AND(VLOOKUP(AO$2,'TIS Site Config'!$A$3:$AQ$51,18,FALSE)="Split",
                        VLOOKUP(AO$2,'TIS Site Config'!$A$3:$AQ$51,6,FALSE)="Heated"),
                              1,0),0)</f>
        <v>1</v>
      </c>
      <c r="AP66" s="21">
        <f>IF(VLOOKUP(AP$2,'TIS Site Config'!$A$4:$AQ$51,3,FALSE)&lt;&gt;"Soft",
          IF(
                       AND(VLOOKUP(AP$2,'TIS Site Config'!$A$3:$AQ$51,18,FALSE)="Split",
                        VLOOKUP(AP$2,'TIS Site Config'!$A$3:$AQ$51,6,FALSE)="Heated"),
                              1,0),0)</f>
        <v>1</v>
      </c>
      <c r="AQ66" s="136">
        <f>IF(VLOOKUP(AQ$2,'TIS Site Config'!$A$4:$AQ$51,3,FALSE)&lt;&gt;"Soft",
          IF(
                       AND(VLOOKUP(AQ$2,'TIS Site Config'!$A$3:$AQ$51,18,FALSE)="Split",
                        VLOOKUP(AQ$2,'TIS Site Config'!$A$3:$AQ$51,6,FALSE)="Heated"),
                              1,0),0)</f>
        <v>0</v>
      </c>
      <c r="AR66" s="136">
        <f>IF(VLOOKUP(AR$2,'TIS Site Config'!$A$4:$AQ$51,3,FALSE)&lt;&gt;"Soft",
          IF(
                       AND(VLOOKUP(AR$2,'TIS Site Config'!$A$3:$AQ$51,18,FALSE)="Split",
                        VLOOKUP(AR$2,'TIS Site Config'!$A$3:$AQ$51,6,FALSE)="Heated"),
                              1,0),0)</f>
        <v>0</v>
      </c>
      <c r="AS66" s="21">
        <f>IF(VLOOKUP(AS$2,'TIS Site Config'!$A$4:$AQ$51,3,FALSE)&lt;&gt;"Soft",
          IF(
                       AND(VLOOKUP(AS$2,'TIS Site Config'!$A$3:$AQ$51,18,FALSE)="Split",
                        VLOOKUP(AS$2,'TIS Site Config'!$A$3:$AQ$51,6,FALSE)="Heated"),
                              1,0),0)</f>
        <v>0</v>
      </c>
      <c r="AT66" s="136">
        <f>IF(VLOOKUP(AT$2,'TIS Site Config'!$A$4:$AQ$51,3,FALSE)&lt;&gt;"Soft",
          IF(
                       AND(VLOOKUP(AT$2,'TIS Site Config'!$A$3:$AQ$51,18,FALSE)="Split",
                        VLOOKUP(AT$2,'TIS Site Config'!$A$3:$AQ$51,6,FALSE)="Heated"),
                              1,0),0)</f>
        <v>0</v>
      </c>
      <c r="AU66" s="21">
        <f>IF(VLOOKUP(AU$2,'TIS Site Config'!$A$4:$AQ$51,3,FALSE)&lt;&gt;"Soft",
          IF(
                       AND(VLOOKUP(AU$2,'TIS Site Config'!$A$3:$AQ$51,18,FALSE)="Split",
                        VLOOKUP(AU$2,'TIS Site Config'!$A$3:$AQ$51,6,FALSE)="Heated"),
                              1,0),0)</f>
        <v>0</v>
      </c>
      <c r="AV66" s="136">
        <f>IF(VLOOKUP(AV$2,'TIS Site Config'!$A$4:$AQ$51,3,FALSE)&lt;&gt;"Soft",
          IF(
                       AND(VLOOKUP(AV$2,'TIS Site Config'!$A$3:$AQ$51,18,FALSE)="Split",
                        VLOOKUP(AV$2,'TIS Site Config'!$A$3:$AQ$51,6,FALSE)="Heated"),
                              1,0),0)</f>
        <v>0</v>
      </c>
      <c r="AW66" s="136">
        <f>IF(VLOOKUP(AW$2,'TIS Site Config'!$A$4:$AQ$51,3,FALSE)&lt;&gt;"Soft",
          IF(
                       AND(VLOOKUP(AW$2,'TIS Site Config'!$A$3:$AQ$51,18,FALSE)="Split",
                        VLOOKUP(AW$2,'TIS Site Config'!$A$3:$AQ$51,6,FALSE)="Heated"),
                              1,0),0)</f>
        <v>1</v>
      </c>
      <c r="AX66" s="222">
        <f>IF(VLOOKUP(AX$2,'TIS Site Config'!$A$4:$AQ$51,3,FALSE)&lt;&gt;"Soft",
          IF(
                       AND(VLOOKUP(AX$2,'TIS Site Config'!$A$3:$AQ$51,18,FALSE)="Split",
                        VLOOKUP(AX$2,'TIS Site Config'!$A$3:$AQ$51,6,FALSE)="Heated"),
                              1,0),0)</f>
        <v>0</v>
      </c>
      <c r="AY66" s="136">
        <f>IF(VLOOKUP(AY$2,'TIS Site Config'!$A$4:$AQ$51,3,FALSE)&lt;&gt;"Soft",
          IF(
                       AND(VLOOKUP(AY$2,'TIS Site Config'!$A$3:$AQ$51,18,FALSE)="Split",
                        VLOOKUP(AY$2,'TIS Site Config'!$A$3:$AQ$51,6,FALSE)="Heated"),
                              1,0),0)</f>
        <v>1</v>
      </c>
      <c r="AZ66" s="21">
        <f>IF(VLOOKUP(AZ$2,'TIS Site Config'!$A$4:$AQ$51,3,FALSE)&lt;&gt;"Soft",
          IF(
                       AND(VLOOKUP(AZ$2,'TIS Site Config'!$A$3:$AQ$51,18,FALSE)="Split",
                        VLOOKUP(AZ$2,'TIS Site Config'!$A$3:$AQ$51,6,FALSE)="Heated"),
                              1,0),0)</f>
        <v>1</v>
      </c>
      <c r="BA66" s="223">
        <f>IF(VLOOKUP(BA$2,'TIS Site Config'!$A$4:$AQ$51,3,FALSE)&lt;&gt;"Soft",
          IF(
                       AND(VLOOKUP(BA$2,'TIS Site Config'!$A$3:$AQ$51,18,FALSE)="Split",
                        VLOOKUP(BA$2,'TIS Site Config'!$A$3:$AQ$51,6,FALSE)="Heated"),
                              1,0),0)</f>
        <v>0</v>
      </c>
      <c r="BB66" s="136">
        <f>IF(VLOOKUP(BB$2,'TIS Site Config'!$A$4:$AQ$51,3,FALSE)&lt;&gt;"Soft",
          IF(
                       AND(VLOOKUP(BB$2,'TIS Site Config'!$A$3:$AQ$51,18,FALSE)="Split",
                        VLOOKUP(BB$2,'TIS Site Config'!$A$3:$AQ$51,6,FALSE)="Heated"),
                              1,0),0)</f>
        <v>0</v>
      </c>
      <c r="BC66" s="222">
        <f>IF(VLOOKUP(BC$2,'TIS Site Config'!$A$4:$AQ$51,3,FALSE)&lt;&gt;"Soft",
          IF(
                       AND(VLOOKUP(BC$2,'TIS Site Config'!$A$3:$AQ$51,18,FALSE)="Split",
                        VLOOKUP(BC$2,'TIS Site Config'!$A$3:$AQ$51,6,FALSE)="Heated"),
                              1,0),0)</f>
        <v>0</v>
      </c>
      <c r="BD66" s="136">
        <f>IF(VLOOKUP(BD$2,'TIS Site Config'!$A$4:$AQ$51,3,FALSE)&lt;&gt;"Soft",
          IF(
                       AND(VLOOKUP(BD$2,'TIS Site Config'!$A$3:$AQ$51,18,FALSE)="Split",
                        VLOOKUP(BD$2,'TIS Site Config'!$A$3:$AQ$51,6,FALSE)="Heated"),
                              1,0),0)</f>
        <v>0</v>
      </c>
      <c r="BE66" s="21">
        <f>IF(VLOOKUP(BE$2,'TIS Site Config'!$A$4:$AQ$51,3,FALSE)&lt;&gt;"Soft",
          IF(
                       AND(VLOOKUP(BE$2,'TIS Site Config'!$A$3:$AQ$51,18,FALSE)="Split",
                        VLOOKUP(BE$2,'TIS Site Config'!$A$3:$AQ$51,6,FALSE)="Heated"),
                              1,0),0)</f>
        <v>0</v>
      </c>
      <c r="BF66" s="222">
        <f>IF(VLOOKUP(BF$2,'TIS Site Config'!$A$4:$AQ$51,3,FALSE)&lt;&gt;"Soft",
          IF(
                       AND(VLOOKUP(BF$2,'TIS Site Config'!$A$3:$AQ$51,18,FALSE)="Split",
                        VLOOKUP(BF$2,'TIS Site Config'!$A$3:$AQ$51,6,FALSE)="Heated"),
                              1,0),0)</f>
        <v>0</v>
      </c>
      <c r="BG66" s="62">
        <f>IF(VLOOKUP(BG$2,'TIS Site Config'!$A$4:$AQ$51,3,FALSE)&lt;&gt;"Soft",
          IF(
                       AND(VLOOKUP(BG$2,'TIS Site Config'!$A$3:$AQ$51,18,FALSE)="Split",
                        VLOOKUP(BG$2,'TIS Site Config'!$A$3:$AQ$51,6,FALSE)="Heated"),
                              1,0),0)</f>
        <v>0</v>
      </c>
      <c r="BH66" s="62">
        <f>IF(VLOOKUP(BH$2,'TIS Site Config'!$A$4:$AQ$51,3,FALSE)&lt;&gt;"Soft",
          IF(
                       AND(VLOOKUP(BH$2,'TIS Site Config'!$A$3:$AQ$51,18,FALSE)="Split",
                        VLOOKUP(BH$2,'TIS Site Config'!$A$3:$AQ$51,6,FALSE)="Heated"),
                              1,0),0)</f>
        <v>1</v>
      </c>
      <c r="BK66" s="3">
        <v>17</v>
      </c>
      <c r="BL66" s="950" t="b">
        <f t="shared" si="4"/>
        <v>0</v>
      </c>
      <c r="BO66" s="950"/>
    </row>
    <row r="67" spans="1:67" s="44" customFormat="1" x14ac:dyDescent="0.25">
      <c r="A67" s="1366"/>
      <c r="B67" s="1333"/>
      <c r="C67" s="57" t="s">
        <v>473</v>
      </c>
      <c r="D67" s="90">
        <v>2</v>
      </c>
      <c r="E67" s="84" t="s">
        <v>471</v>
      </c>
      <c r="F67" s="62">
        <f t="shared" si="5"/>
        <v>5</v>
      </c>
      <c r="G67" s="459"/>
      <c r="H67" s="460"/>
      <c r="I67" s="460"/>
      <c r="J67" s="460"/>
      <c r="K67" s="461"/>
      <c r="L67" s="494"/>
      <c r="M67" s="134">
        <f>IF(VLOOKUP(M$2,'TIS Site Config'!$A$4:$AQ$51,3,FALSE)&lt;&gt;"Soft",
          IF(
             AND(VLOOKUP(M$2,'TIS Site Config'!$A$3:$AQ$51,18,FALSE)="Combined",
                        VLOOKUP(M$2,'TIS Site Config'!$A$3:$AQ$51,6,FALSE)="Non-heated"),
                             1,0),0)</f>
        <v>0</v>
      </c>
      <c r="N67" s="212">
        <f>IF(VLOOKUP(N$2,'TIS Site Config'!$A$4:$AQ$51,3,FALSE)&lt;&gt;"Soft",
          IF(
             AND(VLOOKUP(N$2,'TIS Site Config'!$A$3:$AQ$51,18,FALSE)="Combined",
                        VLOOKUP(N$2,'TIS Site Config'!$A$3:$AQ$51,6,FALSE)="Non-heated"),
                             1,0),0)</f>
        <v>0</v>
      </c>
      <c r="O67" s="215">
        <f>IF(VLOOKUP(O$2,'TIS Site Config'!$A$4:$AQ$51,3,FALSE)&lt;&gt;"Soft",
          IF(
             AND(VLOOKUP(O$2,'TIS Site Config'!$A$3:$AQ$51,18,FALSE)="Combined",
                        VLOOKUP(O$2,'TIS Site Config'!$A$3:$AQ$51,6,FALSE)="Non-heated"),
                             1,0),0)</f>
        <v>0</v>
      </c>
      <c r="P67" s="309">
        <f>IF(VLOOKUP(P$2,'TIS Site Config'!$A$4:$AQ$51,3,FALSE)&lt;&gt;"Soft",
          IF(
             AND(VLOOKUP(P$2,'TIS Site Config'!$A$3:$AQ$51,18,FALSE)="Combined",
                        VLOOKUP(P$2,'TIS Site Config'!$A$3:$AQ$51,6,FALSE)="Non-heated"),
                             1,0),0)</f>
        <v>0</v>
      </c>
      <c r="Q67" s="212">
        <f>IF(VLOOKUP(Q$2,'TIS Site Config'!$A$4:$AQ$51,3,FALSE)&lt;&gt;"Soft",
          IF(
             AND(VLOOKUP(Q$2,'TIS Site Config'!$A$3:$AQ$51,18,FALSE)="Combined",
                        VLOOKUP(Q$2,'TIS Site Config'!$A$3:$AQ$51,6,FALSE)="Non-heated"),
                             1,0),0)</f>
        <v>0</v>
      </c>
      <c r="R67" s="134">
        <f>IF(VLOOKUP(R$2,'TIS Site Config'!$A$4:$AQ$51,3,FALSE)&lt;&gt;"Soft",
          IF(
             AND(VLOOKUP(R$2,'TIS Site Config'!$A$3:$AQ$51,18,FALSE)="Combined",
                        VLOOKUP(R$2,'TIS Site Config'!$A$3:$AQ$51,6,FALSE)="Non-heated"),
                             1,0),0)</f>
        <v>1</v>
      </c>
      <c r="S67" s="309">
        <f>IF(VLOOKUP(S$2,'TIS Site Config'!$A$4:$AQ$51,3,FALSE)&lt;&gt;"Soft",
          IF(
             AND(VLOOKUP(S$2,'TIS Site Config'!$A$3:$AQ$51,18,FALSE)="Combined",
                        VLOOKUP(S$2,'TIS Site Config'!$A$3:$AQ$51,6,FALSE)="Non-heated"),
                             1,0),0)</f>
        <v>0</v>
      </c>
      <c r="T67" s="212">
        <f>IF(VLOOKUP(T$2,'TIS Site Config'!$A$4:$AQ$51,3,FALSE)&lt;&gt;"Soft",
          IF(
             AND(VLOOKUP(T$2,'TIS Site Config'!$A$3:$AQ$51,18,FALSE)="Combined",
                        VLOOKUP(T$2,'TIS Site Config'!$A$3:$AQ$51,6,FALSE)="Non-heated"),
                             1,0),0)</f>
        <v>0</v>
      </c>
      <c r="U67" s="134">
        <f>IF(VLOOKUP(U$2,'TIS Site Config'!$A$4:$AQ$51,3,FALSE)&lt;&gt;"Soft",
          IF(
             AND(VLOOKUP(U$2,'TIS Site Config'!$A$3:$AQ$51,18,FALSE)="Combined",
                        VLOOKUP(U$2,'TIS Site Config'!$A$3:$AQ$51,6,FALSE)="Non-heated"),
                             1,0),0)</f>
        <v>0</v>
      </c>
      <c r="V67" s="212">
        <f>IF(VLOOKUP(V$2,'TIS Site Config'!$A$4:$AQ$51,3,FALSE)&lt;&gt;"Soft",
          IF(
             AND(VLOOKUP(V$2,'TIS Site Config'!$A$3:$AQ$51,18,FALSE)="Combined",
                        VLOOKUP(V$2,'TIS Site Config'!$A$3:$AQ$51,6,FALSE)="Non-heated"),
                             1,0),0)</f>
        <v>0</v>
      </c>
      <c r="W67" s="214">
        <f>IF(VLOOKUP(W$2,'TIS Site Config'!$A$4:$AQ$51,3,FALSE)&lt;&gt;"Soft",
          IF(
             AND(VLOOKUP(W$2,'TIS Site Config'!$A$3:$AQ$51,18,FALSE)="Combined",
                        VLOOKUP(W$2,'TIS Site Config'!$A$3:$AQ$51,6,FALSE)="Non-heated"),
                             1,0),0)</f>
        <v>0</v>
      </c>
      <c r="X67" s="309">
        <f>IF(VLOOKUP(X$2,'TIS Site Config'!$A$4:$AQ$51,3,FALSE)&lt;&gt;"Soft",
          IF(
             AND(VLOOKUP(X$2,'TIS Site Config'!$A$3:$AQ$51,18,FALSE)="Combined",
                        VLOOKUP(X$2,'TIS Site Config'!$A$3:$AQ$51,6,FALSE)="Non-heated"),
                             1,0),0)</f>
        <v>0</v>
      </c>
      <c r="Y67" s="212">
        <f>IF(VLOOKUP(Y$2,'TIS Site Config'!$A$4:$AQ$51,3,FALSE)&lt;&gt;"Soft",
          IF(
             AND(VLOOKUP(Y$2,'TIS Site Config'!$A$3:$AQ$51,18,FALSE)="Combined",
                        VLOOKUP(Y$2,'TIS Site Config'!$A$3:$AQ$51,6,FALSE)="Non-heated"),
                             1,0),0)</f>
        <v>0</v>
      </c>
      <c r="Z67" s="134">
        <f>IF(VLOOKUP(Z$2,'TIS Site Config'!$A$4:$AQ$51,3,FALSE)&lt;&gt;"Soft",
          IF(
             AND(VLOOKUP(Z$2,'TIS Site Config'!$A$3:$AQ$51,18,FALSE)="Combined",
                        VLOOKUP(Z$2,'TIS Site Config'!$A$3:$AQ$51,6,FALSE)="Non-heated"),
                             1,0),0)</f>
        <v>0</v>
      </c>
      <c r="AA67" s="309">
        <f>IF(VLOOKUP(AA$2,'TIS Site Config'!$A$4:$AQ$51,3,FALSE)&lt;&gt;"Soft",
          IF(
             AND(VLOOKUP(AA$2,'TIS Site Config'!$A$3:$AQ$51,18,FALSE)="Combined",
                        VLOOKUP(AA$2,'TIS Site Config'!$A$3:$AQ$51,6,FALSE)="Non-heated"),
                             1,0),0)</f>
        <v>0</v>
      </c>
      <c r="AB67" s="212">
        <f>IF(VLOOKUP(AB$2,'TIS Site Config'!$A$4:$AQ$51,3,FALSE)&lt;&gt;"Soft",
          IF(
             AND(VLOOKUP(AB$2,'TIS Site Config'!$A$3:$AQ$51,18,FALSE)="Combined",
                        VLOOKUP(AB$2,'TIS Site Config'!$A$3:$AQ$51,6,FALSE)="Non-heated"),
                             1,0),0)</f>
        <v>0</v>
      </c>
      <c r="AC67" s="309">
        <f>IF(VLOOKUP(AC$2,'TIS Site Config'!$A$4:$AQ$51,3,FALSE)&lt;&gt;"Soft",
          IF(
             AND(VLOOKUP(AC$2,'TIS Site Config'!$A$3:$AQ$51,18,FALSE)="Combined",
                        VLOOKUP(AC$2,'TIS Site Config'!$A$3:$AQ$51,6,FALSE)="Non-heated"),
                             1,0),0)</f>
        <v>0</v>
      </c>
      <c r="AD67" s="213">
        <f>IF(VLOOKUP(AD$2,'TIS Site Config'!$A$4:$AQ$51,3,FALSE)&lt;&gt;"Soft",
          IF(
             AND(VLOOKUP(AD$2,'TIS Site Config'!$A$3:$AQ$51,18,FALSE)="Combined",
                        VLOOKUP(AD$2,'TIS Site Config'!$A$3:$AQ$51,6,FALSE)="Non-heated"),
                             1,0),0)</f>
        <v>0</v>
      </c>
      <c r="AE67" s="213">
        <f>IF(VLOOKUP(AE$2,'TIS Site Config'!$A$4:$AQ$51,3,FALSE)&lt;&gt;"Soft",
          IF(
             AND(VLOOKUP(AE$2,'TIS Site Config'!$A$3:$AQ$51,18,FALSE)="Combined",
                        VLOOKUP(AE$2,'TIS Site Config'!$A$3:$AQ$51,6,FALSE)="Non-heated"),
                             1,0),0)</f>
        <v>0</v>
      </c>
      <c r="AF67" s="39">
        <f>IF(VLOOKUP(AF$2,'TIS Site Config'!$A$4:$AQ$51,3,FALSE)&lt;&gt;"Soft",
          IF(
             AND(VLOOKUP(AF$2,'TIS Site Config'!$A$3:$AQ$51,18,FALSE)="Combined",
                        VLOOKUP(AF$2,'TIS Site Config'!$A$3:$AQ$51,6,FALSE)="Non-heated"),
                             1,0),0)</f>
        <v>0</v>
      </c>
      <c r="AG67" s="309">
        <f>IF(VLOOKUP(AG$2,'TIS Site Config'!$A$4:$AQ$51,3,FALSE)&lt;&gt;"Soft",
          IF(
             AND(VLOOKUP(AG$2,'TIS Site Config'!$A$3:$AQ$51,18,FALSE)="Combined",
                        VLOOKUP(AG$2,'TIS Site Config'!$A$3:$AQ$51,6,FALSE)="Non-heated"),
                             1,0),0)</f>
        <v>1</v>
      </c>
      <c r="AH67" s="212">
        <f>IF(VLOOKUP(AH$2,'TIS Site Config'!$A$4:$AQ$51,3,FALSE)&lt;&gt;"Soft",
          IF(
             AND(VLOOKUP(AH$2,'TIS Site Config'!$A$3:$AQ$51,18,FALSE)="Combined",
                        VLOOKUP(AH$2,'TIS Site Config'!$A$3:$AQ$51,6,FALSE)="Non-heated"),
                             1,0),0)</f>
        <v>0</v>
      </c>
      <c r="AI67" s="134">
        <f>IF(VLOOKUP(AI$2,'TIS Site Config'!$A$4:$AQ$51,3,FALSE)&lt;&gt;"Soft",
          IF(
             AND(VLOOKUP(AI$2,'TIS Site Config'!$A$3:$AQ$51,18,FALSE)="Combined",
                        VLOOKUP(AI$2,'TIS Site Config'!$A$3:$AQ$51,6,FALSE)="Non-heated"),
                             1,0),0)</f>
        <v>0</v>
      </c>
      <c r="AJ67" s="309">
        <f>IF(VLOOKUP(AJ$2,'TIS Site Config'!$A$4:$AQ$51,3,FALSE)&lt;&gt;"Soft",
          IF(
             AND(VLOOKUP(AJ$2,'TIS Site Config'!$A$3:$AQ$51,18,FALSE)="Combined",
                        VLOOKUP(AJ$2,'TIS Site Config'!$A$3:$AQ$51,6,FALSE)="Non-heated"),
                             1,0),0)</f>
        <v>0</v>
      </c>
      <c r="AK67" s="212">
        <f>IF(VLOOKUP(AK$2,'TIS Site Config'!$A$4:$AQ$51,3,FALSE)&lt;&gt;"Soft",
          IF(
             AND(VLOOKUP(AK$2,'TIS Site Config'!$A$3:$AQ$51,18,FALSE)="Combined",
                        VLOOKUP(AK$2,'TIS Site Config'!$A$3:$AQ$51,6,FALSE)="Non-heated"),
                             1,0),0)</f>
        <v>0</v>
      </c>
      <c r="AL67" s="134">
        <f>IF(VLOOKUP(AL$2,'TIS Site Config'!$A$4:$AQ$51,3,FALSE)&lt;&gt;"Soft",
          IF(
             AND(VLOOKUP(AL$2,'TIS Site Config'!$A$3:$AQ$51,18,FALSE)="Combined",
                        VLOOKUP(AL$2,'TIS Site Config'!$A$3:$AQ$51,6,FALSE)="Non-heated"),
                             1,0),0)</f>
        <v>0</v>
      </c>
      <c r="AM67" s="309">
        <f>IF(VLOOKUP(AM$2,'TIS Site Config'!$A$4:$AQ$51,3,FALSE)&lt;&gt;"Soft",
          IF(
             AND(VLOOKUP(AM$2,'TIS Site Config'!$A$3:$AQ$51,18,FALSE)="Combined",
                        VLOOKUP(AM$2,'TIS Site Config'!$A$3:$AQ$51,6,FALSE)="Non-heated"),
                             1,0),0)</f>
        <v>0</v>
      </c>
      <c r="AN67" s="212">
        <f>IF(VLOOKUP(AN$2,'TIS Site Config'!$A$4:$AQ$51,3,FALSE)&lt;&gt;"Soft",
          IF(
             AND(VLOOKUP(AN$2,'TIS Site Config'!$A$3:$AQ$51,18,FALSE)="Combined",
                        VLOOKUP(AN$2,'TIS Site Config'!$A$3:$AQ$51,6,FALSE)="Non-heated"),
                             1,0),0)</f>
        <v>0</v>
      </c>
      <c r="AO67" s="134">
        <f>IF(VLOOKUP(AO$2,'TIS Site Config'!$A$4:$AQ$51,3,FALSE)&lt;&gt;"Soft",
          IF(
             AND(VLOOKUP(AO$2,'TIS Site Config'!$A$3:$AQ$51,18,FALSE)="Combined",
                        VLOOKUP(AO$2,'TIS Site Config'!$A$3:$AQ$51,6,FALSE)="Non-heated"),
                             1,0),0)</f>
        <v>0</v>
      </c>
      <c r="AP67" s="309">
        <f>IF(VLOOKUP(AP$2,'TIS Site Config'!$A$4:$AQ$51,3,FALSE)&lt;&gt;"Soft",
          IF(
             AND(VLOOKUP(AP$2,'TIS Site Config'!$A$3:$AQ$51,18,FALSE)="Combined",
                        VLOOKUP(AP$2,'TIS Site Config'!$A$3:$AQ$51,6,FALSE)="Non-heated"),
                             1,0),0)</f>
        <v>0</v>
      </c>
      <c r="AQ67" s="134">
        <f>IF(VLOOKUP(AQ$2,'TIS Site Config'!$A$4:$AQ$51,3,FALSE)&lt;&gt;"Soft",
          IF(
             AND(VLOOKUP(AQ$2,'TIS Site Config'!$A$3:$AQ$51,18,FALSE)="Combined",
                        VLOOKUP(AQ$2,'TIS Site Config'!$A$3:$AQ$51,6,FALSE)="Non-heated"),
                             1,0),0)</f>
        <v>0</v>
      </c>
      <c r="AR67" s="134">
        <f>IF(VLOOKUP(AR$2,'TIS Site Config'!$A$4:$AQ$51,3,FALSE)&lt;&gt;"Soft",
          IF(
             AND(VLOOKUP(AR$2,'TIS Site Config'!$A$3:$AQ$51,18,FALSE)="Combined",
                        VLOOKUP(AR$2,'TIS Site Config'!$A$3:$AQ$51,6,FALSE)="Non-heated"),
                             1,0),0)</f>
        <v>0</v>
      </c>
      <c r="AS67" s="309">
        <f>IF(VLOOKUP(AS$2,'TIS Site Config'!$A$4:$AQ$51,3,FALSE)&lt;&gt;"Soft",
          IF(
             AND(VLOOKUP(AS$2,'TIS Site Config'!$A$3:$AQ$51,18,FALSE)="Combined",
                        VLOOKUP(AS$2,'TIS Site Config'!$A$3:$AQ$51,6,FALSE)="Non-heated"),
                             1,0),0)</f>
        <v>0</v>
      </c>
      <c r="AT67" s="134">
        <f>IF(VLOOKUP(AT$2,'TIS Site Config'!$A$4:$AQ$51,3,FALSE)&lt;&gt;"Soft",
          IF(
             AND(VLOOKUP(AT$2,'TIS Site Config'!$A$3:$AQ$51,18,FALSE)="Combined",
                        VLOOKUP(AT$2,'TIS Site Config'!$A$3:$AQ$51,6,FALSE)="Non-heated"),
                             1,0),0)</f>
        <v>1</v>
      </c>
      <c r="AU67" s="309">
        <f>IF(VLOOKUP(AU$2,'TIS Site Config'!$A$4:$AQ$51,3,FALSE)&lt;&gt;"Soft",
          IF(
             AND(VLOOKUP(AU$2,'TIS Site Config'!$A$3:$AQ$51,18,FALSE)="Combined",
                        VLOOKUP(AU$2,'TIS Site Config'!$A$3:$AQ$51,6,FALSE)="Non-heated"),
                             1,0),0)</f>
        <v>1</v>
      </c>
      <c r="AV67" s="134">
        <f>IF(VLOOKUP(AV$2,'TIS Site Config'!$A$4:$AQ$51,3,FALSE)&lt;&gt;"Soft",
          IF(
             AND(VLOOKUP(AV$2,'TIS Site Config'!$A$3:$AQ$51,18,FALSE)="Combined",
                        VLOOKUP(AV$2,'TIS Site Config'!$A$3:$AQ$51,6,FALSE)="Non-heated"),
                             1,0),0)</f>
        <v>0</v>
      </c>
      <c r="AW67" s="134">
        <f>IF(VLOOKUP(AW$2,'TIS Site Config'!$A$4:$AQ$51,3,FALSE)&lt;&gt;"Soft",
          IF(
             AND(VLOOKUP(AW$2,'TIS Site Config'!$A$3:$AQ$51,18,FALSE)="Combined",
                        VLOOKUP(AW$2,'TIS Site Config'!$A$3:$AQ$51,6,FALSE)="Non-heated"),
                             1,0),0)</f>
        <v>0</v>
      </c>
      <c r="AX67" s="212">
        <f>IF(VLOOKUP(AX$2,'TIS Site Config'!$A$4:$AQ$51,3,FALSE)&lt;&gt;"Soft",
          IF(
             AND(VLOOKUP(AX$2,'TIS Site Config'!$A$3:$AQ$51,18,FALSE)="Combined",
                        VLOOKUP(AX$2,'TIS Site Config'!$A$3:$AQ$51,6,FALSE)="Non-heated"),
                             1,0),0)</f>
        <v>0</v>
      </c>
      <c r="AY67" s="134">
        <f>IF(VLOOKUP(AY$2,'TIS Site Config'!$A$4:$AQ$51,3,FALSE)&lt;&gt;"Soft",
          IF(
             AND(VLOOKUP(AY$2,'TIS Site Config'!$A$3:$AQ$51,18,FALSE)="Combined",
                        VLOOKUP(AY$2,'TIS Site Config'!$A$3:$AQ$51,6,FALSE)="Non-heated"),
                             1,0),0)</f>
        <v>0</v>
      </c>
      <c r="AZ67" s="309">
        <f>IF(VLOOKUP(AZ$2,'TIS Site Config'!$A$4:$AQ$51,3,FALSE)&lt;&gt;"Soft",
          IF(
             AND(VLOOKUP(AZ$2,'TIS Site Config'!$A$3:$AQ$51,18,FALSE)="Combined",
                        VLOOKUP(AZ$2,'TIS Site Config'!$A$3:$AQ$51,6,FALSE)="Non-heated"),
                             1,0),0)</f>
        <v>0</v>
      </c>
      <c r="BA67" s="213">
        <f>IF(VLOOKUP(BA$2,'TIS Site Config'!$A$4:$AQ$51,3,FALSE)&lt;&gt;"Soft",
          IF(
             AND(VLOOKUP(BA$2,'TIS Site Config'!$A$3:$AQ$51,18,FALSE)="Combined",
                        VLOOKUP(BA$2,'TIS Site Config'!$A$3:$AQ$51,6,FALSE)="Non-heated"),
                             1,0),0)</f>
        <v>0</v>
      </c>
      <c r="BB67" s="134">
        <f>IF(VLOOKUP(BB$2,'TIS Site Config'!$A$4:$AQ$51,3,FALSE)&lt;&gt;"Soft",
          IF(
             AND(VLOOKUP(BB$2,'TIS Site Config'!$A$3:$AQ$51,18,FALSE)="Combined",
                        VLOOKUP(BB$2,'TIS Site Config'!$A$3:$AQ$51,6,FALSE)="Non-heated"),
                             1,0),0)</f>
        <v>0</v>
      </c>
      <c r="BC67" s="212">
        <f>IF(VLOOKUP(BC$2,'TIS Site Config'!$A$4:$AQ$51,3,FALSE)&lt;&gt;"Soft",
          IF(
             AND(VLOOKUP(BC$2,'TIS Site Config'!$A$3:$AQ$51,18,FALSE)="Combined",
                        VLOOKUP(BC$2,'TIS Site Config'!$A$3:$AQ$51,6,FALSE)="Non-heated"),
                             1,0),0)</f>
        <v>0</v>
      </c>
      <c r="BD67" s="134">
        <f>IF(VLOOKUP(BD$2,'TIS Site Config'!$A$4:$AQ$51,3,FALSE)&lt;&gt;"Soft",
          IF(
             AND(VLOOKUP(BD$2,'TIS Site Config'!$A$3:$AQ$51,18,FALSE)="Combined",
                        VLOOKUP(BD$2,'TIS Site Config'!$A$3:$AQ$51,6,FALSE)="Non-heated"),
                             1,0),0)</f>
        <v>0</v>
      </c>
      <c r="BE67" s="309">
        <f>IF(VLOOKUP(BE$2,'TIS Site Config'!$A$4:$AQ$51,3,FALSE)&lt;&gt;"Soft",
          IF(
             AND(VLOOKUP(BE$2,'TIS Site Config'!$A$3:$AQ$51,18,FALSE)="Combined",
                        VLOOKUP(BE$2,'TIS Site Config'!$A$3:$AQ$51,6,FALSE)="Non-heated"),
                             1,0),0)</f>
        <v>0</v>
      </c>
      <c r="BF67" s="212">
        <f>IF(VLOOKUP(BF$2,'TIS Site Config'!$A$4:$AQ$51,3,FALSE)&lt;&gt;"Soft",
          IF(
             AND(VLOOKUP(BF$2,'TIS Site Config'!$A$3:$AQ$51,18,FALSE)="Combined",
                        VLOOKUP(BF$2,'TIS Site Config'!$A$3:$AQ$51,6,FALSE)="Non-heated"),
                             1,0),0)</f>
        <v>0</v>
      </c>
      <c r="BG67" s="60">
        <f>IF(VLOOKUP(BG$2,'TIS Site Config'!$A$4:$AQ$51,3,FALSE)&lt;&gt;"Soft",
          IF(
             AND(VLOOKUP(BG$2,'TIS Site Config'!$A$3:$AQ$51,18,FALSE)="Combined",
                        VLOOKUP(BG$2,'TIS Site Config'!$A$3:$AQ$51,6,FALSE)="Non-heated"),
                             1,0),0)</f>
        <v>1</v>
      </c>
      <c r="BH67" s="60">
        <f>IF(VLOOKUP(BH$2,'TIS Site Config'!$A$4:$AQ$51,3,FALSE)&lt;&gt;"Soft",
          IF(
             AND(VLOOKUP(BH$2,'TIS Site Config'!$A$3:$AQ$51,18,FALSE)="Combined",
                        VLOOKUP(BH$2,'TIS Site Config'!$A$3:$AQ$51,6,FALSE)="Non-heated"),
                             1,0),0)</f>
        <v>0</v>
      </c>
      <c r="BK67" s="44">
        <v>5</v>
      </c>
      <c r="BL67" s="950" t="b">
        <f t="shared" si="4"/>
        <v>1</v>
      </c>
      <c r="BO67" s="950"/>
    </row>
    <row r="68" spans="1:67" s="44" customFormat="1" x14ac:dyDescent="0.25">
      <c r="A68" s="1366"/>
      <c r="B68" s="1333"/>
      <c r="C68" s="77" t="s">
        <v>474</v>
      </c>
      <c r="D68" s="96">
        <v>2</v>
      </c>
      <c r="E68" s="113" t="s">
        <v>472</v>
      </c>
      <c r="F68" s="253">
        <f t="shared" si="5"/>
        <v>15</v>
      </c>
      <c r="G68" s="470"/>
      <c r="H68" s="471"/>
      <c r="I68" s="471"/>
      <c r="J68" s="471"/>
      <c r="K68" s="472"/>
      <c r="L68" s="498"/>
      <c r="M68" s="140">
        <f>IF(VLOOKUP(M$2,'TIS Site Config'!$A$4:$AQ$51,3,FALSE)&lt;&gt;"Soft",
          IF(
                       AND(VLOOKUP(M$2,'TIS Site Config'!$A$3:$AQ$51,18,FALSE)="Combined",
                        VLOOKUP(M$2,'TIS Site Config'!$A$3:$AQ$51,6,FALSE)="Heated"),
                              1,0),0)</f>
        <v>0</v>
      </c>
      <c r="N68" s="245">
        <f>IF(VLOOKUP(N$2,'TIS Site Config'!$A$4:$AQ$51,3,FALSE)&lt;&gt;"Soft",
          IF(
                       AND(VLOOKUP(N$2,'TIS Site Config'!$A$3:$AQ$51,18,FALSE)="Combined",
                        VLOOKUP(N$2,'TIS Site Config'!$A$3:$AQ$51,6,FALSE)="Heated"),
                              1,0),0)</f>
        <v>1</v>
      </c>
      <c r="O68" s="249">
        <f>IF(VLOOKUP(O$2,'TIS Site Config'!$A$4:$AQ$51,3,FALSE)&lt;&gt;"Soft",
          IF(
                       AND(VLOOKUP(O$2,'TIS Site Config'!$A$3:$AQ$51,18,FALSE)="Combined",
                        VLOOKUP(O$2,'TIS Site Config'!$A$3:$AQ$51,6,FALSE)="Heated"),
                              1,0),0)</f>
        <v>0</v>
      </c>
      <c r="P68" s="300">
        <f>IF(VLOOKUP(P$2,'TIS Site Config'!$A$4:$AQ$51,3,FALSE)&lt;&gt;"Soft",
          IF(
                       AND(VLOOKUP(P$2,'TIS Site Config'!$A$3:$AQ$51,18,FALSE)="Combined",
                        VLOOKUP(P$2,'TIS Site Config'!$A$3:$AQ$51,6,FALSE)="Heated"),
                              1,0),0)</f>
        <v>1</v>
      </c>
      <c r="Q68" s="245">
        <f>IF(VLOOKUP(Q$2,'TIS Site Config'!$A$4:$AQ$51,3,FALSE)&lt;&gt;"Soft",
          IF(
                       AND(VLOOKUP(Q$2,'TIS Site Config'!$A$3:$AQ$51,18,FALSE)="Combined",
                        VLOOKUP(Q$2,'TIS Site Config'!$A$3:$AQ$51,6,FALSE)="Heated"),
                              1,0),0)</f>
        <v>1</v>
      </c>
      <c r="R68" s="140">
        <f>IF(VLOOKUP(R$2,'TIS Site Config'!$A$4:$AQ$51,3,FALSE)&lt;&gt;"Soft",
          IF(
                       AND(VLOOKUP(R$2,'TIS Site Config'!$A$3:$AQ$51,18,FALSE)="Combined",
                        VLOOKUP(R$2,'TIS Site Config'!$A$3:$AQ$51,6,FALSE)="Heated"),
                              1,0),0)</f>
        <v>0</v>
      </c>
      <c r="S68" s="300">
        <f>IF(VLOOKUP(S$2,'TIS Site Config'!$A$4:$AQ$51,3,FALSE)&lt;&gt;"Soft",
          IF(
                       AND(VLOOKUP(S$2,'TIS Site Config'!$A$3:$AQ$51,18,FALSE)="Combined",
                        VLOOKUP(S$2,'TIS Site Config'!$A$3:$AQ$51,6,FALSE)="Heated"),
                              1,0),0)</f>
        <v>0</v>
      </c>
      <c r="T68" s="245">
        <f>IF(VLOOKUP(T$2,'TIS Site Config'!$A$4:$AQ$51,3,FALSE)&lt;&gt;"Soft",
          IF(
                       AND(VLOOKUP(T$2,'TIS Site Config'!$A$3:$AQ$51,18,FALSE)="Combined",
                        VLOOKUP(T$2,'TIS Site Config'!$A$3:$AQ$51,6,FALSE)="Heated"),
                              1,0),0)</f>
        <v>0</v>
      </c>
      <c r="U68" s="140">
        <f>IF(VLOOKUP(U$2,'TIS Site Config'!$A$4:$AQ$51,3,FALSE)&lt;&gt;"Soft",
          IF(
                       AND(VLOOKUP(U$2,'TIS Site Config'!$A$3:$AQ$51,18,FALSE)="Combined",
                        VLOOKUP(U$2,'TIS Site Config'!$A$3:$AQ$51,6,FALSE)="Heated"),
                              1,0),0)</f>
        <v>0</v>
      </c>
      <c r="V68" s="245">
        <f>IF(VLOOKUP(V$2,'TIS Site Config'!$A$4:$AQ$51,3,FALSE)&lt;&gt;"Soft",
          IF(
                       AND(VLOOKUP(V$2,'TIS Site Config'!$A$3:$AQ$51,18,FALSE)="Combined",
                        VLOOKUP(V$2,'TIS Site Config'!$A$3:$AQ$51,6,FALSE)="Heated"),
                              1,0),0)</f>
        <v>0</v>
      </c>
      <c r="W68" s="248">
        <f>IF(VLOOKUP(W$2,'TIS Site Config'!$A$4:$AQ$51,3,FALSE)&lt;&gt;"Soft",
          IF(
                       AND(VLOOKUP(W$2,'TIS Site Config'!$A$3:$AQ$51,18,FALSE)="Combined",
                        VLOOKUP(W$2,'TIS Site Config'!$A$3:$AQ$51,6,FALSE)="Heated"),
                              1,0),0)</f>
        <v>1</v>
      </c>
      <c r="X68" s="300">
        <f>IF(VLOOKUP(X$2,'TIS Site Config'!$A$4:$AQ$51,3,FALSE)&lt;&gt;"Soft",
          IF(
                       AND(VLOOKUP(X$2,'TIS Site Config'!$A$3:$AQ$51,18,FALSE)="Combined",
                        VLOOKUP(X$2,'TIS Site Config'!$A$3:$AQ$51,6,FALSE)="Heated"),
                              1,0),0)</f>
        <v>1</v>
      </c>
      <c r="Y68" s="245">
        <f>IF(VLOOKUP(Y$2,'TIS Site Config'!$A$4:$AQ$51,3,FALSE)&lt;&gt;"Soft",
          IF(
                       AND(VLOOKUP(Y$2,'TIS Site Config'!$A$3:$AQ$51,18,FALSE)="Combined",
                        VLOOKUP(Y$2,'TIS Site Config'!$A$3:$AQ$51,6,FALSE)="Heated"),
                              1,0),0)</f>
        <v>1</v>
      </c>
      <c r="Z68" s="140">
        <f>IF(VLOOKUP(Z$2,'TIS Site Config'!$A$4:$AQ$51,3,FALSE)&lt;&gt;"Soft",
          IF(
                       AND(VLOOKUP(Z$2,'TIS Site Config'!$A$3:$AQ$51,18,FALSE)="Combined",
                        VLOOKUP(Z$2,'TIS Site Config'!$A$3:$AQ$51,6,FALSE)="Heated"),
                              1,0),0)</f>
        <v>0</v>
      </c>
      <c r="AA68" s="300">
        <f>IF(VLOOKUP(AA$2,'TIS Site Config'!$A$4:$AQ$51,3,FALSE)&lt;&gt;"Soft",
          IF(
                       AND(VLOOKUP(AA$2,'TIS Site Config'!$A$3:$AQ$51,18,FALSE)="Combined",
                        VLOOKUP(AA$2,'TIS Site Config'!$A$3:$AQ$51,6,FALSE)="Heated"),
                              1,0),0)</f>
        <v>1</v>
      </c>
      <c r="AB68" s="245">
        <f>IF(VLOOKUP(AB$2,'TIS Site Config'!$A$4:$AQ$51,3,FALSE)&lt;&gt;"Soft",
          IF(
                       AND(VLOOKUP(AB$2,'TIS Site Config'!$A$3:$AQ$51,18,FALSE)="Combined",
                        VLOOKUP(AB$2,'TIS Site Config'!$A$3:$AQ$51,6,FALSE)="Heated"),
                              1,0),0)</f>
        <v>0</v>
      </c>
      <c r="AC68" s="300">
        <f>IF(VLOOKUP(AC$2,'TIS Site Config'!$A$4:$AQ$51,3,FALSE)&lt;&gt;"Soft",
          IF(
                       AND(VLOOKUP(AC$2,'TIS Site Config'!$A$3:$AQ$51,18,FALSE)="Combined",
                        VLOOKUP(AC$2,'TIS Site Config'!$A$3:$AQ$51,6,FALSE)="Heated"),
                              1,0),0)</f>
        <v>1</v>
      </c>
      <c r="AD68" s="246">
        <f>IF(VLOOKUP(AD$2,'TIS Site Config'!$A$4:$AQ$51,3,FALSE)&lt;&gt;"Soft",
          IF(
                       AND(VLOOKUP(AD$2,'TIS Site Config'!$A$3:$AQ$51,18,FALSE)="Combined",
                        VLOOKUP(AD$2,'TIS Site Config'!$A$3:$AQ$51,6,FALSE)="Heated"),
                              1,0),0)</f>
        <v>0</v>
      </c>
      <c r="AE68" s="246">
        <f>IF(VLOOKUP(AE$2,'TIS Site Config'!$A$4:$AQ$51,3,FALSE)&lt;&gt;"Soft",
          IF(
                       AND(VLOOKUP(AE$2,'TIS Site Config'!$A$3:$AQ$51,18,FALSE)="Combined",
                        VLOOKUP(AE$2,'TIS Site Config'!$A$3:$AQ$51,6,FALSE)="Heated"),
                              1,0),0)</f>
        <v>0</v>
      </c>
      <c r="AF68" s="38">
        <f>IF(VLOOKUP(AF$2,'TIS Site Config'!$A$4:$AQ$51,3,FALSE)&lt;&gt;"Soft",
          IF(
                       AND(VLOOKUP(AF$2,'TIS Site Config'!$A$3:$AQ$51,18,FALSE)="Combined",
                        VLOOKUP(AF$2,'TIS Site Config'!$A$3:$AQ$51,6,FALSE)="Heated"),
                              1,0),0)</f>
        <v>0</v>
      </c>
      <c r="AG68" s="300">
        <f>IF(VLOOKUP(AG$2,'TIS Site Config'!$A$4:$AQ$51,3,FALSE)&lt;&gt;"Soft",
          IF(
                       AND(VLOOKUP(AG$2,'TIS Site Config'!$A$3:$AQ$51,18,FALSE)="Combined",
                        VLOOKUP(AG$2,'TIS Site Config'!$A$3:$AQ$51,6,FALSE)="Heated"),
                              1,0),0)</f>
        <v>0</v>
      </c>
      <c r="AH68" s="245">
        <f>IF(VLOOKUP(AH$2,'TIS Site Config'!$A$4:$AQ$51,3,FALSE)&lt;&gt;"Soft",
          IF(
                       AND(VLOOKUP(AH$2,'TIS Site Config'!$A$3:$AQ$51,18,FALSE)="Combined",
                        VLOOKUP(AH$2,'TIS Site Config'!$A$3:$AQ$51,6,FALSE)="Heated"),
                              1,0),0)</f>
        <v>0</v>
      </c>
      <c r="AI68" s="140">
        <f>IF(VLOOKUP(AI$2,'TIS Site Config'!$A$4:$AQ$51,3,FALSE)&lt;&gt;"Soft",
          IF(
                       AND(VLOOKUP(AI$2,'TIS Site Config'!$A$3:$AQ$51,18,FALSE)="Combined",
                        VLOOKUP(AI$2,'TIS Site Config'!$A$3:$AQ$51,6,FALSE)="Heated"),
                              1,0),0)</f>
        <v>0</v>
      </c>
      <c r="AJ68" s="300">
        <f>IF(VLOOKUP(AJ$2,'TIS Site Config'!$A$4:$AQ$51,3,FALSE)&lt;&gt;"Soft",
          IF(
                       AND(VLOOKUP(AJ$2,'TIS Site Config'!$A$3:$AQ$51,18,FALSE)="Combined",
                        VLOOKUP(AJ$2,'TIS Site Config'!$A$3:$AQ$51,6,FALSE)="Heated"),
                              1,0),0)</f>
        <v>0</v>
      </c>
      <c r="AK68" s="245">
        <f>IF(VLOOKUP(AK$2,'TIS Site Config'!$A$4:$AQ$51,3,FALSE)&lt;&gt;"Soft",
          IF(
                       AND(VLOOKUP(AK$2,'TIS Site Config'!$A$3:$AQ$51,18,FALSE)="Combined",
                        VLOOKUP(AK$2,'TIS Site Config'!$A$3:$AQ$51,6,FALSE)="Heated"),
                              1,0),0)</f>
        <v>1</v>
      </c>
      <c r="AL68" s="140">
        <f>IF(VLOOKUP(AL$2,'TIS Site Config'!$A$4:$AQ$51,3,FALSE)&lt;&gt;"Soft",
          IF(
                       AND(VLOOKUP(AL$2,'TIS Site Config'!$A$3:$AQ$51,18,FALSE)="Combined",
                        VLOOKUP(AL$2,'TIS Site Config'!$A$3:$AQ$51,6,FALSE)="Heated"),
                              1,0),0)</f>
        <v>0</v>
      </c>
      <c r="AM68" s="300">
        <f>IF(VLOOKUP(AM$2,'TIS Site Config'!$A$4:$AQ$51,3,FALSE)&lt;&gt;"Soft",
          IF(
                       AND(VLOOKUP(AM$2,'TIS Site Config'!$A$3:$AQ$51,18,FALSE)="Combined",
                        VLOOKUP(AM$2,'TIS Site Config'!$A$3:$AQ$51,6,FALSE)="Heated"),
                              1,0),0)</f>
        <v>0</v>
      </c>
      <c r="AN68" s="245">
        <f>IF(VLOOKUP(AN$2,'TIS Site Config'!$A$4:$AQ$51,3,FALSE)&lt;&gt;"Soft",
          IF(
                       AND(VLOOKUP(AN$2,'TIS Site Config'!$A$3:$AQ$51,18,FALSE)="Combined",
                        VLOOKUP(AN$2,'TIS Site Config'!$A$3:$AQ$51,6,FALSE)="Heated"),
                              1,0),0)</f>
        <v>1</v>
      </c>
      <c r="AO68" s="140">
        <f>IF(VLOOKUP(AO$2,'TIS Site Config'!$A$4:$AQ$51,3,FALSE)&lt;&gt;"Soft",
          IF(
                       AND(VLOOKUP(AO$2,'TIS Site Config'!$A$3:$AQ$51,18,FALSE)="Combined",
                        VLOOKUP(AO$2,'TIS Site Config'!$A$3:$AQ$51,6,FALSE)="Heated"),
                              1,0),0)</f>
        <v>0</v>
      </c>
      <c r="AP68" s="300">
        <f>IF(VLOOKUP(AP$2,'TIS Site Config'!$A$4:$AQ$51,3,FALSE)&lt;&gt;"Soft",
          IF(
                       AND(VLOOKUP(AP$2,'TIS Site Config'!$A$3:$AQ$51,18,FALSE)="Combined",
                        VLOOKUP(AP$2,'TIS Site Config'!$A$3:$AQ$51,6,FALSE)="Heated"),
                              1,0),0)</f>
        <v>0</v>
      </c>
      <c r="AQ68" s="140">
        <f>IF(VLOOKUP(AQ$2,'TIS Site Config'!$A$4:$AQ$51,3,FALSE)&lt;&gt;"Soft",
          IF(
                       AND(VLOOKUP(AQ$2,'TIS Site Config'!$A$3:$AQ$51,18,FALSE)="Combined",
                        VLOOKUP(AQ$2,'TIS Site Config'!$A$3:$AQ$51,6,FALSE)="Heated"),
                              1,0),0)</f>
        <v>1</v>
      </c>
      <c r="AR68" s="140">
        <f>IF(VLOOKUP(AR$2,'TIS Site Config'!$A$4:$AQ$51,3,FALSE)&lt;&gt;"Soft",
          IF(
                       AND(VLOOKUP(AR$2,'TIS Site Config'!$A$3:$AQ$51,18,FALSE)="Combined",
                        VLOOKUP(AR$2,'TIS Site Config'!$A$3:$AQ$51,6,FALSE)="Heated"),
                              1,0),0)</f>
        <v>0</v>
      </c>
      <c r="AS68" s="300">
        <f>IF(VLOOKUP(AS$2,'TIS Site Config'!$A$4:$AQ$51,3,FALSE)&lt;&gt;"Soft",
          IF(
                       AND(VLOOKUP(AS$2,'TIS Site Config'!$A$3:$AQ$51,18,FALSE)="Combined",
                        VLOOKUP(AS$2,'TIS Site Config'!$A$3:$AQ$51,6,FALSE)="Heated"),
                              1,0),0)</f>
        <v>1</v>
      </c>
      <c r="AT68" s="140">
        <f>IF(VLOOKUP(AT$2,'TIS Site Config'!$A$4:$AQ$51,3,FALSE)&lt;&gt;"Soft",
          IF(
                       AND(VLOOKUP(AT$2,'TIS Site Config'!$A$3:$AQ$51,18,FALSE)="Combined",
                        VLOOKUP(AT$2,'TIS Site Config'!$A$3:$AQ$51,6,FALSE)="Heated"),
                              1,0),0)</f>
        <v>0</v>
      </c>
      <c r="AU68" s="300">
        <f>IF(VLOOKUP(AU$2,'TIS Site Config'!$A$4:$AQ$51,3,FALSE)&lt;&gt;"Soft",
          IF(
                       AND(VLOOKUP(AU$2,'TIS Site Config'!$A$3:$AQ$51,18,FALSE)="Combined",
                        VLOOKUP(AU$2,'TIS Site Config'!$A$3:$AQ$51,6,FALSE)="Heated"),
                              1,0),0)</f>
        <v>0</v>
      </c>
      <c r="AV68" s="140">
        <f>IF(VLOOKUP(AV$2,'TIS Site Config'!$A$4:$AQ$51,3,FALSE)&lt;&gt;"Soft",
          IF(
                       AND(VLOOKUP(AV$2,'TIS Site Config'!$A$3:$AQ$51,18,FALSE)="Combined",
                        VLOOKUP(AV$2,'TIS Site Config'!$A$3:$AQ$51,6,FALSE)="Heated"),
                              1,0),0)</f>
        <v>1</v>
      </c>
      <c r="AW68" s="140">
        <f>IF(VLOOKUP(AW$2,'TIS Site Config'!$A$4:$AQ$51,3,FALSE)&lt;&gt;"Soft",
          IF(
                       AND(VLOOKUP(AW$2,'TIS Site Config'!$A$3:$AQ$51,18,FALSE)="Combined",
                        VLOOKUP(AW$2,'TIS Site Config'!$A$3:$AQ$51,6,FALSE)="Heated"),
                              1,0),0)</f>
        <v>0</v>
      </c>
      <c r="AX68" s="245">
        <f>IF(VLOOKUP(AX$2,'TIS Site Config'!$A$4:$AQ$51,3,FALSE)&lt;&gt;"Soft",
          IF(
                       AND(VLOOKUP(AX$2,'TIS Site Config'!$A$3:$AQ$51,18,FALSE)="Combined",
                        VLOOKUP(AX$2,'TIS Site Config'!$A$3:$AQ$51,6,FALSE)="Heated"),
                              1,0),0)</f>
        <v>1</v>
      </c>
      <c r="AY68" s="140">
        <f>IF(VLOOKUP(AY$2,'TIS Site Config'!$A$4:$AQ$51,3,FALSE)&lt;&gt;"Soft",
          IF(
                       AND(VLOOKUP(AY$2,'TIS Site Config'!$A$3:$AQ$51,18,FALSE)="Combined",
                        VLOOKUP(AY$2,'TIS Site Config'!$A$3:$AQ$51,6,FALSE)="Heated"),
                              1,0),0)</f>
        <v>0</v>
      </c>
      <c r="AZ68" s="300">
        <f>IF(VLOOKUP(AZ$2,'TIS Site Config'!$A$4:$AQ$51,3,FALSE)&lt;&gt;"Soft",
          IF(
                       AND(VLOOKUP(AZ$2,'TIS Site Config'!$A$3:$AQ$51,18,FALSE)="Combined",
                        VLOOKUP(AZ$2,'TIS Site Config'!$A$3:$AQ$51,6,FALSE)="Heated"),
                              1,0),0)</f>
        <v>0</v>
      </c>
      <c r="BA68" s="246">
        <f>IF(VLOOKUP(BA$2,'TIS Site Config'!$A$4:$AQ$51,3,FALSE)&lt;&gt;"Soft",
          IF(
                       AND(VLOOKUP(BA$2,'TIS Site Config'!$A$3:$AQ$51,18,FALSE)="Combined",
                        VLOOKUP(BA$2,'TIS Site Config'!$A$3:$AQ$51,6,FALSE)="Heated"),
                              1,0),0)</f>
        <v>1</v>
      </c>
      <c r="BB68" s="140">
        <f>IF(VLOOKUP(BB$2,'TIS Site Config'!$A$4:$AQ$51,3,FALSE)&lt;&gt;"Soft",
          IF(
                       AND(VLOOKUP(BB$2,'TIS Site Config'!$A$3:$AQ$51,18,FALSE)="Combined",
                        VLOOKUP(BB$2,'TIS Site Config'!$A$3:$AQ$51,6,FALSE)="Heated"),
                              1,0),0)</f>
        <v>0</v>
      </c>
      <c r="BC68" s="245">
        <f>IF(VLOOKUP(BC$2,'TIS Site Config'!$A$4:$AQ$51,3,FALSE)&lt;&gt;"Soft",
          IF(
                       AND(VLOOKUP(BC$2,'TIS Site Config'!$A$3:$AQ$51,18,FALSE)="Combined",
                        VLOOKUP(BC$2,'TIS Site Config'!$A$3:$AQ$51,6,FALSE)="Heated"),
                              1,0),0)</f>
        <v>0</v>
      </c>
      <c r="BD68" s="140">
        <f>IF(VLOOKUP(BD$2,'TIS Site Config'!$A$4:$AQ$51,3,FALSE)&lt;&gt;"Soft",
          IF(
                       AND(VLOOKUP(BD$2,'TIS Site Config'!$A$3:$AQ$51,18,FALSE)="Combined",
                        VLOOKUP(BD$2,'TIS Site Config'!$A$3:$AQ$51,6,FALSE)="Heated"),
                              1,0),0)</f>
        <v>0</v>
      </c>
      <c r="BE68" s="300">
        <f>IF(VLOOKUP(BE$2,'TIS Site Config'!$A$4:$AQ$51,3,FALSE)&lt;&gt;"Soft",
          IF(
                       AND(VLOOKUP(BE$2,'TIS Site Config'!$A$3:$AQ$51,18,FALSE)="Combined",
                        VLOOKUP(BE$2,'TIS Site Config'!$A$3:$AQ$51,6,FALSE)="Heated"),
                              1,0),0)</f>
        <v>0</v>
      </c>
      <c r="BF68" s="245">
        <f>IF(VLOOKUP(BF$2,'TIS Site Config'!$A$4:$AQ$51,3,FALSE)&lt;&gt;"Soft",
          IF(
                       AND(VLOOKUP(BF$2,'TIS Site Config'!$A$3:$AQ$51,18,FALSE)="Combined",
                        VLOOKUP(BF$2,'TIS Site Config'!$A$3:$AQ$51,6,FALSE)="Heated"),
                              1,0),0)</f>
        <v>0</v>
      </c>
      <c r="BG68" s="247">
        <f>IF(VLOOKUP(BG$2,'TIS Site Config'!$A$4:$AQ$51,3,FALSE)&lt;&gt;"Soft",
          IF(
                       AND(VLOOKUP(BG$2,'TIS Site Config'!$A$3:$AQ$51,18,FALSE)="Combined",
                        VLOOKUP(BG$2,'TIS Site Config'!$A$3:$AQ$51,6,FALSE)="Heated"),
                              1,0),0)</f>
        <v>0</v>
      </c>
      <c r="BH68" s="247">
        <f>IF(VLOOKUP(BH$2,'TIS Site Config'!$A$4:$AQ$51,3,FALSE)&lt;&gt;"Soft",
          IF(
                       AND(VLOOKUP(BH$2,'TIS Site Config'!$A$3:$AQ$51,18,FALSE)="Combined",
                        VLOOKUP(BH$2,'TIS Site Config'!$A$3:$AQ$51,6,FALSE)="Heated"),
                              1,0),0)</f>
        <v>0</v>
      </c>
      <c r="BK68" s="44">
        <v>17</v>
      </c>
      <c r="BL68" s="950" t="b">
        <f t="shared" si="4"/>
        <v>0</v>
      </c>
      <c r="BO68" s="950"/>
    </row>
    <row r="69" spans="1:67" s="44" customFormat="1" x14ac:dyDescent="0.25">
      <c r="A69" s="1366"/>
      <c r="B69" s="1333"/>
      <c r="C69" s="69" t="s">
        <v>494</v>
      </c>
      <c r="D69" s="91">
        <v>4</v>
      </c>
      <c r="E69" s="85" t="s">
        <v>493</v>
      </c>
      <c r="F69" s="62">
        <f t="shared" si="5"/>
        <v>4</v>
      </c>
      <c r="G69" s="450"/>
      <c r="H69" s="451"/>
      <c r="I69" s="451">
        <v>1</v>
      </c>
      <c r="J69" s="451"/>
      <c r="K69" s="452"/>
      <c r="L69" s="491"/>
      <c r="M69" s="136">
        <f>IF(VLOOKUP(M$2,'TIS Site Config'!$A$4:$AQ$51,3,FALSE)&lt;&gt;"Soft",
          IF(
             AND(VLOOKUP(M$2,'TIS Site Config'!$A$3:$AQ$51,18,FALSE)="Split",
                        VLOOKUP(M$2,'TIS Site Config'!$A$3:$AQ$51,6,FALSE)="Extreme Heated"),
                             (VLOOKUP(M$2,'TIS Site Config'!$A$3:$AQ$51,17,FALSE)-2),0),0)</f>
        <v>0</v>
      </c>
      <c r="N69" s="222">
        <f>IF(VLOOKUP(N$2,'TIS Site Config'!$A$4:$AQ$51,3,FALSE)&lt;&gt;"Soft",
          IF(
             AND(VLOOKUP(N$2,'TIS Site Config'!$A$3:$AQ$51,18,FALSE)="Split",
                        VLOOKUP(N$2,'TIS Site Config'!$A$3:$AQ$51,6,FALSE)="Extreme Heated"),
                             (VLOOKUP(N$2,'TIS Site Config'!$A$3:$AQ$51,17,FALSE)-2),0),0)</f>
        <v>0</v>
      </c>
      <c r="O69" s="225">
        <f>IF(VLOOKUP(O$2,'TIS Site Config'!$A$4:$AQ$51,3,FALSE)&lt;&gt;"Soft",
          IF(
             AND(VLOOKUP(O$2,'TIS Site Config'!$A$3:$AQ$51,18,FALSE)="Split",
                        VLOOKUP(O$2,'TIS Site Config'!$A$3:$AQ$51,6,FALSE)="Extreme Heated"),
                             (VLOOKUP(O$2,'TIS Site Config'!$A$3:$AQ$51,17,FALSE)-2),0),0)</f>
        <v>0</v>
      </c>
      <c r="P69" s="21">
        <f>IF(VLOOKUP(P$2,'TIS Site Config'!$A$4:$AQ$51,3,FALSE)&lt;&gt;"Soft",
          IF(
             AND(VLOOKUP(P$2,'TIS Site Config'!$A$3:$AQ$51,18,FALSE)="Split",
                        VLOOKUP(P$2,'TIS Site Config'!$A$3:$AQ$51,6,FALSE)="Extreme Heated"),
                             (VLOOKUP(P$2,'TIS Site Config'!$A$3:$AQ$51,17,FALSE)-2),0),0)</f>
        <v>0</v>
      </c>
      <c r="Q69" s="222">
        <f>IF(VLOOKUP(Q$2,'TIS Site Config'!$A$4:$AQ$51,3,FALSE)&lt;&gt;"Soft",
          IF(
             AND(VLOOKUP(Q$2,'TIS Site Config'!$A$3:$AQ$51,18,FALSE)="Split",
                        VLOOKUP(Q$2,'TIS Site Config'!$A$3:$AQ$51,6,FALSE)="Extreme Heated"),
                             (VLOOKUP(Q$2,'TIS Site Config'!$A$3:$AQ$51,17,FALSE)-2),0),0)</f>
        <v>0</v>
      </c>
      <c r="R69" s="136">
        <f>IF(VLOOKUP(R$2,'TIS Site Config'!$A$4:$AQ$51,3,FALSE)&lt;&gt;"Soft",
          IF(
             AND(VLOOKUP(R$2,'TIS Site Config'!$A$3:$AQ$51,18,FALSE)="Split",
                        VLOOKUP(R$2,'TIS Site Config'!$A$3:$AQ$51,6,FALSE)="Extreme Heated"),
                             (VLOOKUP(R$2,'TIS Site Config'!$A$3:$AQ$51,17,FALSE)-2),0),0)</f>
        <v>0</v>
      </c>
      <c r="S69" s="21">
        <f>IF(VLOOKUP(S$2,'TIS Site Config'!$A$4:$AQ$51,3,FALSE)&lt;&gt;"Soft",
          IF(
             AND(VLOOKUP(S$2,'TIS Site Config'!$A$3:$AQ$51,18,FALSE)="Split",
                        VLOOKUP(S$2,'TIS Site Config'!$A$3:$AQ$51,6,FALSE)="Extreme Heated"),
                             (VLOOKUP(S$2,'TIS Site Config'!$A$3:$AQ$51,17,FALSE)-2),0),0)</f>
        <v>0</v>
      </c>
      <c r="T69" s="222">
        <f>IF(VLOOKUP(T$2,'TIS Site Config'!$A$4:$AQ$51,3,FALSE)&lt;&gt;"Soft",
          IF(
             AND(VLOOKUP(T$2,'TIS Site Config'!$A$3:$AQ$51,18,FALSE)="Split",
                        VLOOKUP(T$2,'TIS Site Config'!$A$3:$AQ$51,6,FALSE)="Extreme Heated"),
                             (VLOOKUP(T$2,'TIS Site Config'!$A$3:$AQ$51,17,FALSE)-2),0),0)</f>
        <v>0</v>
      </c>
      <c r="U69" s="136">
        <f>IF(VLOOKUP(U$2,'TIS Site Config'!$A$4:$AQ$51,3,FALSE)&lt;&gt;"Soft",
          IF(
             AND(VLOOKUP(U$2,'TIS Site Config'!$A$3:$AQ$51,18,FALSE)="Split",
                        VLOOKUP(U$2,'TIS Site Config'!$A$3:$AQ$51,6,FALSE)="Extreme Heated"),
                             (VLOOKUP(U$2,'TIS Site Config'!$A$3:$AQ$51,17,FALSE)-2),0),0)</f>
        <v>0</v>
      </c>
      <c r="V69" s="222">
        <f>IF(VLOOKUP(V$2,'TIS Site Config'!$A$4:$AQ$51,3,FALSE)&lt;&gt;"Soft",
          IF(
             AND(VLOOKUP(V$2,'TIS Site Config'!$A$3:$AQ$51,18,FALSE)="Split",
                        VLOOKUP(V$2,'TIS Site Config'!$A$3:$AQ$51,6,FALSE)="Extreme Heated"),
                             (VLOOKUP(V$2,'TIS Site Config'!$A$3:$AQ$51,17,FALSE)-2),0),0)</f>
        <v>0</v>
      </c>
      <c r="W69" s="224">
        <f>IF(VLOOKUP(W$2,'TIS Site Config'!$A$4:$AQ$51,3,FALSE)&lt;&gt;"Soft",
          IF(
             AND(VLOOKUP(W$2,'TIS Site Config'!$A$3:$AQ$51,18,FALSE)="Split",
                        VLOOKUP(W$2,'TIS Site Config'!$A$3:$AQ$51,6,FALSE)="Extreme Heated"),
                             (VLOOKUP(W$2,'TIS Site Config'!$A$3:$AQ$51,17,FALSE)-2),0),0)</f>
        <v>0</v>
      </c>
      <c r="X69" s="21">
        <f>IF(VLOOKUP(X$2,'TIS Site Config'!$A$4:$AQ$51,3,FALSE)&lt;&gt;"Soft",
          IF(
             AND(VLOOKUP(X$2,'TIS Site Config'!$A$3:$AQ$51,18,FALSE)="Split",
                        VLOOKUP(X$2,'TIS Site Config'!$A$3:$AQ$51,6,FALSE)="Extreme Heated"),
                             (VLOOKUP(X$2,'TIS Site Config'!$A$3:$AQ$51,17,FALSE)-2),0),0)</f>
        <v>0</v>
      </c>
      <c r="Y69" s="222">
        <f>IF(VLOOKUP(Y$2,'TIS Site Config'!$A$4:$AQ$51,3,FALSE)&lt;&gt;"Soft",
          IF(
             AND(VLOOKUP(Y$2,'TIS Site Config'!$A$3:$AQ$51,18,FALSE)="Split",
                        VLOOKUP(Y$2,'TIS Site Config'!$A$3:$AQ$51,6,FALSE)="Extreme Heated"),
                             (VLOOKUP(Y$2,'TIS Site Config'!$A$3:$AQ$51,17,FALSE)-2),0),0)</f>
        <v>0</v>
      </c>
      <c r="Z69" s="136">
        <f>IF(VLOOKUP(Z$2,'TIS Site Config'!$A$4:$AQ$51,3,FALSE)&lt;&gt;"Soft",
          IF(
             AND(VLOOKUP(Z$2,'TIS Site Config'!$A$3:$AQ$51,18,FALSE)="Split",
                        VLOOKUP(Z$2,'TIS Site Config'!$A$3:$AQ$51,6,FALSE)="Extreme Heated"),
                             (VLOOKUP(Z$2,'TIS Site Config'!$A$3:$AQ$51,17,FALSE)-2),0),0)</f>
        <v>0</v>
      </c>
      <c r="AA69" s="21">
        <f>IF(VLOOKUP(AA$2,'TIS Site Config'!$A$4:$AQ$51,3,FALSE)&lt;&gt;"Soft",
          IF(
             AND(VLOOKUP(AA$2,'TIS Site Config'!$A$3:$AQ$51,18,FALSE)="Split",
                        VLOOKUP(AA$2,'TIS Site Config'!$A$3:$AQ$51,6,FALSE)="Extreme Heated"),
                             (VLOOKUP(AA$2,'TIS Site Config'!$A$3:$AQ$51,17,FALSE)-2),0),0)</f>
        <v>0</v>
      </c>
      <c r="AB69" s="222">
        <f>IF(VLOOKUP(AB$2,'TIS Site Config'!$A$4:$AQ$51,3,FALSE)&lt;&gt;"Soft",
          IF(
             AND(VLOOKUP(AB$2,'TIS Site Config'!$A$3:$AQ$51,18,FALSE)="Split",
                        VLOOKUP(AB$2,'TIS Site Config'!$A$3:$AQ$51,6,FALSE)="Extreme Heated"),
                             (VLOOKUP(AB$2,'TIS Site Config'!$A$3:$AQ$51,17,FALSE)-2),0),0)</f>
        <v>0</v>
      </c>
      <c r="AC69" s="21">
        <f>IF(VLOOKUP(AC$2,'TIS Site Config'!$A$4:$AQ$51,3,FALSE)&lt;&gt;"Soft",
          IF(
             AND(VLOOKUP(AC$2,'TIS Site Config'!$A$3:$AQ$51,18,FALSE)="Split",
                        VLOOKUP(AC$2,'TIS Site Config'!$A$3:$AQ$51,6,FALSE)="Extreme Heated"),
                             (VLOOKUP(AC$2,'TIS Site Config'!$A$3:$AQ$51,17,FALSE)-2),0),0)</f>
        <v>0</v>
      </c>
      <c r="AD69" s="223">
        <f>IF(VLOOKUP(AD$2,'TIS Site Config'!$A$4:$AQ$51,3,FALSE)&lt;&gt;"Soft",
          IF(
             AND(VLOOKUP(AD$2,'TIS Site Config'!$A$3:$AQ$51,18,FALSE)="Split",
                        VLOOKUP(AD$2,'TIS Site Config'!$A$3:$AQ$51,6,FALSE)="Extreme Heated"),
                             (VLOOKUP(AD$2,'TIS Site Config'!$A$3:$AQ$51,17,FALSE)-2),0),0)</f>
        <v>0</v>
      </c>
      <c r="AE69" s="223">
        <f>IF(VLOOKUP(AE$2,'TIS Site Config'!$A$4:$AQ$51,3,FALSE)&lt;&gt;"Soft",
          IF(
             AND(VLOOKUP(AE$2,'TIS Site Config'!$A$3:$AQ$51,18,FALSE)="Split",
                        VLOOKUP(AE$2,'TIS Site Config'!$A$3:$AQ$51,6,FALSE)="Extreme Heated"),
                             (VLOOKUP(AE$2,'TIS Site Config'!$A$3:$AQ$51,17,FALSE)-2),0),0)</f>
        <v>0</v>
      </c>
      <c r="AF69" s="16">
        <f>IF(VLOOKUP(AF$2,'TIS Site Config'!$A$4:$AQ$51,3,FALSE)&lt;&gt;"Soft",
          IF(
             AND(VLOOKUP(AF$2,'TIS Site Config'!$A$3:$AQ$51,18,FALSE)="Split",
                        VLOOKUP(AF$2,'TIS Site Config'!$A$3:$AQ$51,6,FALSE)="Extreme Heated"),
                             (VLOOKUP(AF$2,'TIS Site Config'!$A$3:$AQ$51,17,FALSE)-2),0),0)</f>
        <v>0</v>
      </c>
      <c r="AG69" s="21">
        <f>IF(VLOOKUP(AG$2,'TIS Site Config'!$A$4:$AQ$51,3,FALSE)&lt;&gt;"Soft",
          IF(
             AND(VLOOKUP(AG$2,'TIS Site Config'!$A$3:$AQ$51,18,FALSE)="Split",
                        VLOOKUP(AG$2,'TIS Site Config'!$A$3:$AQ$51,6,FALSE)="Extreme Heated"),
                             (VLOOKUP(AG$2,'TIS Site Config'!$A$3:$AQ$51,17,FALSE)-2),0),0)</f>
        <v>0</v>
      </c>
      <c r="AH69" s="222">
        <f>IF(VLOOKUP(AH$2,'TIS Site Config'!$A$4:$AQ$51,3,FALSE)&lt;&gt;"Soft",
          IF(
             AND(VLOOKUP(AH$2,'TIS Site Config'!$A$3:$AQ$51,18,FALSE)="Split",
                        VLOOKUP(AH$2,'TIS Site Config'!$A$3:$AQ$51,6,FALSE)="Extreme Heated"),
                             (VLOOKUP(AH$2,'TIS Site Config'!$A$3:$AQ$51,17,FALSE)-2),0),0)</f>
        <v>0</v>
      </c>
      <c r="AI69" s="136">
        <f>IF(VLOOKUP(AI$2,'TIS Site Config'!$A$4:$AQ$51,3,FALSE)&lt;&gt;"Soft",
          IF(
             AND(VLOOKUP(AI$2,'TIS Site Config'!$A$3:$AQ$51,18,FALSE)="Split",
                        VLOOKUP(AI$2,'TIS Site Config'!$A$3:$AQ$51,6,FALSE)="Extreme Heated"),
                             (VLOOKUP(AI$2,'TIS Site Config'!$A$3:$AQ$51,17,FALSE)-2),0),0)</f>
        <v>0</v>
      </c>
      <c r="AJ69" s="21">
        <f>IF(VLOOKUP(AJ$2,'TIS Site Config'!$A$4:$AQ$51,3,FALSE)&lt;&gt;"Soft",
          IF(
             AND(VLOOKUP(AJ$2,'TIS Site Config'!$A$3:$AQ$51,18,FALSE)="Split",
                        VLOOKUP(AJ$2,'TIS Site Config'!$A$3:$AQ$51,6,FALSE)="Extreme Heated"),
                             (VLOOKUP(AJ$2,'TIS Site Config'!$A$3:$AQ$51,17,FALSE)-2),0),0)</f>
        <v>0</v>
      </c>
      <c r="AK69" s="222">
        <f>IF(VLOOKUP(AK$2,'TIS Site Config'!$A$4:$AQ$51,3,FALSE)&lt;&gt;"Soft",
          IF(
             AND(VLOOKUP(AK$2,'TIS Site Config'!$A$3:$AQ$51,18,FALSE)="Split",
                        VLOOKUP(AK$2,'TIS Site Config'!$A$3:$AQ$51,6,FALSE)="Extreme Heated"),
                             (VLOOKUP(AK$2,'TIS Site Config'!$A$3:$AQ$51,17,FALSE)-2),0),0)</f>
        <v>0</v>
      </c>
      <c r="AL69" s="136">
        <f>IF(VLOOKUP(AL$2,'TIS Site Config'!$A$4:$AQ$51,3,FALSE)&lt;&gt;"Soft",
          IF(
             AND(VLOOKUP(AL$2,'TIS Site Config'!$A$3:$AQ$51,18,FALSE)="Split",
                        VLOOKUP(AL$2,'TIS Site Config'!$A$3:$AQ$51,6,FALSE)="Extreme Heated"),
                             (VLOOKUP(AL$2,'TIS Site Config'!$A$3:$AQ$51,17,FALSE)-2),0),0)</f>
        <v>0</v>
      </c>
      <c r="AM69" s="21">
        <f>IF(VLOOKUP(AM$2,'TIS Site Config'!$A$4:$AQ$51,3,FALSE)&lt;&gt;"Soft",
          IF(
             AND(VLOOKUP(AM$2,'TIS Site Config'!$A$3:$AQ$51,18,FALSE)="Split",
                        VLOOKUP(AM$2,'TIS Site Config'!$A$3:$AQ$51,6,FALSE)="Extreme Heated"),
                             (VLOOKUP(AM$2,'TIS Site Config'!$A$3:$AQ$51,17,FALSE)-2),0),0)</f>
        <v>0</v>
      </c>
      <c r="AN69" s="222">
        <f>IF(VLOOKUP(AN$2,'TIS Site Config'!$A$4:$AQ$51,3,FALSE)&lt;&gt;"Soft",
          IF(
             AND(VLOOKUP(AN$2,'TIS Site Config'!$A$3:$AQ$51,18,FALSE)="Split",
                        VLOOKUP(AN$2,'TIS Site Config'!$A$3:$AQ$51,6,FALSE)="Extreme Heated"),
                             (VLOOKUP(AN$2,'TIS Site Config'!$A$3:$AQ$51,17,FALSE)-2),0),0)</f>
        <v>0</v>
      </c>
      <c r="AO69" s="136">
        <f>IF(VLOOKUP(AO$2,'TIS Site Config'!$A$4:$AQ$51,3,FALSE)&lt;&gt;"Soft",
          IF(
             AND(VLOOKUP(AO$2,'TIS Site Config'!$A$3:$AQ$51,18,FALSE)="Split",
                        VLOOKUP(AO$2,'TIS Site Config'!$A$3:$AQ$51,6,FALSE)="Extreme Heated"),
                             (VLOOKUP(AO$2,'TIS Site Config'!$A$3:$AQ$51,17,FALSE)-2),0),0)</f>
        <v>0</v>
      </c>
      <c r="AP69" s="21">
        <f>IF(VLOOKUP(AP$2,'TIS Site Config'!$A$4:$AQ$51,3,FALSE)&lt;&gt;"Soft",
          IF(
             AND(VLOOKUP(AP$2,'TIS Site Config'!$A$3:$AQ$51,18,FALSE)="Split",
                        VLOOKUP(AP$2,'TIS Site Config'!$A$3:$AQ$51,6,FALSE)="Extreme Heated"),
                             (VLOOKUP(AP$2,'TIS Site Config'!$A$3:$AQ$51,17,FALSE)-2),0),0)</f>
        <v>0</v>
      </c>
      <c r="AQ69" s="136">
        <f>IF(VLOOKUP(AQ$2,'TIS Site Config'!$A$4:$AQ$51,3,FALSE)&lt;&gt;"Soft",
          IF(
             AND(VLOOKUP(AQ$2,'TIS Site Config'!$A$3:$AQ$51,18,FALSE)="Split",
                        VLOOKUP(AQ$2,'TIS Site Config'!$A$3:$AQ$51,6,FALSE)="Extreme Heated"),
                             (VLOOKUP(AQ$2,'TIS Site Config'!$A$3:$AQ$51,17,FALSE)-2),0),0)</f>
        <v>0</v>
      </c>
      <c r="AR69" s="136">
        <f>IF(VLOOKUP(AR$2,'TIS Site Config'!$A$4:$AQ$51,3,FALSE)&lt;&gt;"Soft",
          IF(
             AND(VLOOKUP(AR$2,'TIS Site Config'!$A$3:$AQ$51,18,FALSE)="Split",
                        VLOOKUP(AR$2,'TIS Site Config'!$A$3:$AQ$51,6,FALSE)="Extreme Heated"),
                             (VLOOKUP(AR$2,'TIS Site Config'!$A$3:$AQ$51,17,FALSE)-2),0),0)</f>
        <v>2</v>
      </c>
      <c r="AS69" s="21">
        <f>IF(VLOOKUP(AS$2,'TIS Site Config'!$A$4:$AQ$51,3,FALSE)&lt;&gt;"Soft",
          IF(
             AND(VLOOKUP(AS$2,'TIS Site Config'!$A$3:$AQ$51,18,FALSE)="Split",
                        VLOOKUP(AS$2,'TIS Site Config'!$A$3:$AQ$51,6,FALSE)="Extreme Heated"),
                             (VLOOKUP(AS$2,'TIS Site Config'!$A$3:$AQ$51,17,FALSE)-2),0),0)</f>
        <v>0</v>
      </c>
      <c r="AT69" s="136">
        <f>IF(VLOOKUP(AT$2,'TIS Site Config'!$A$4:$AQ$51,3,FALSE)&lt;&gt;"Soft",
          IF(
             AND(VLOOKUP(AT$2,'TIS Site Config'!$A$3:$AQ$51,18,FALSE)="Split",
                        VLOOKUP(AT$2,'TIS Site Config'!$A$3:$AQ$51,6,FALSE)="Extreme Heated"),
                             (VLOOKUP(AT$2,'TIS Site Config'!$A$3:$AQ$51,17,FALSE)-2),0),0)</f>
        <v>0</v>
      </c>
      <c r="AU69" s="21">
        <f>IF(VLOOKUP(AU$2,'TIS Site Config'!$A$4:$AQ$51,3,FALSE)&lt;&gt;"Soft",
          IF(
             AND(VLOOKUP(AU$2,'TIS Site Config'!$A$3:$AQ$51,18,FALSE)="Split",
                        VLOOKUP(AU$2,'TIS Site Config'!$A$3:$AQ$51,6,FALSE)="Extreme Heated"),
                             (VLOOKUP(AU$2,'TIS Site Config'!$A$3:$AQ$51,17,FALSE)-2),0),0)</f>
        <v>0</v>
      </c>
      <c r="AV69" s="136">
        <f>IF(VLOOKUP(AV$2,'TIS Site Config'!$A$4:$AQ$51,3,FALSE)&lt;&gt;"Soft",
          IF(
             AND(VLOOKUP(AV$2,'TIS Site Config'!$A$3:$AQ$51,18,FALSE)="Split",
                        VLOOKUP(AV$2,'TIS Site Config'!$A$3:$AQ$51,6,FALSE)="Extreme Heated"),
                             (VLOOKUP(AV$2,'TIS Site Config'!$A$3:$AQ$51,17,FALSE)-2),0),0)</f>
        <v>0</v>
      </c>
      <c r="AW69" s="136">
        <f>IF(VLOOKUP(AW$2,'TIS Site Config'!$A$4:$AQ$51,3,FALSE)&lt;&gt;"Soft",
          IF(
             AND(VLOOKUP(AW$2,'TIS Site Config'!$A$3:$AQ$51,18,FALSE)="Split",
                        VLOOKUP(AW$2,'TIS Site Config'!$A$3:$AQ$51,6,FALSE)="Extreme Heated"),
                             (VLOOKUP(AW$2,'TIS Site Config'!$A$3:$AQ$51,17,FALSE)-2),0),0)</f>
        <v>0</v>
      </c>
      <c r="AX69" s="222">
        <f>IF(VLOOKUP(AX$2,'TIS Site Config'!$A$4:$AQ$51,3,FALSE)&lt;&gt;"Soft",
          IF(
             AND(VLOOKUP(AX$2,'TIS Site Config'!$A$3:$AQ$51,18,FALSE)="Split",
                        VLOOKUP(AX$2,'TIS Site Config'!$A$3:$AQ$51,6,FALSE)="Extreme Heated"),
                             (VLOOKUP(AX$2,'TIS Site Config'!$A$3:$AQ$51,17,FALSE)-2),0),0)</f>
        <v>0</v>
      </c>
      <c r="AY69" s="136">
        <f>IF(VLOOKUP(AY$2,'TIS Site Config'!$A$4:$AQ$51,3,FALSE)&lt;&gt;"Soft",
          IF(
             AND(VLOOKUP(AY$2,'TIS Site Config'!$A$3:$AQ$51,18,FALSE)="Split",
                        VLOOKUP(AY$2,'TIS Site Config'!$A$3:$AQ$51,6,FALSE)="Extreme Heated"),
                             (VLOOKUP(AY$2,'TIS Site Config'!$A$3:$AQ$51,17,FALSE)-2),0),0)</f>
        <v>0</v>
      </c>
      <c r="AZ69" s="21">
        <f>IF(VLOOKUP(AZ$2,'TIS Site Config'!$A$4:$AQ$51,3,FALSE)&lt;&gt;"Soft",
          IF(
             AND(VLOOKUP(AZ$2,'TIS Site Config'!$A$3:$AQ$51,18,FALSE)="Split",
                        VLOOKUP(AZ$2,'TIS Site Config'!$A$3:$AQ$51,6,FALSE)="Extreme Heated"),
                             (VLOOKUP(AZ$2,'TIS Site Config'!$A$3:$AQ$51,17,FALSE)-2),0),0)</f>
        <v>0</v>
      </c>
      <c r="BA69" s="223">
        <f>IF(VLOOKUP(BA$2,'TIS Site Config'!$A$4:$AQ$51,3,FALSE)&lt;&gt;"Soft",
          IF(
             AND(VLOOKUP(BA$2,'TIS Site Config'!$A$3:$AQ$51,18,FALSE)="Split",
                        VLOOKUP(BA$2,'TIS Site Config'!$A$3:$AQ$51,6,FALSE)="Extreme Heated"),
                             (VLOOKUP(BA$2,'TIS Site Config'!$A$3:$AQ$51,17,FALSE)-2),0),0)</f>
        <v>0</v>
      </c>
      <c r="BB69" s="136">
        <f>IF(VLOOKUP(BB$2,'TIS Site Config'!$A$4:$AQ$51,3,FALSE)&lt;&gt;"Soft",
          IF(
             AND(VLOOKUP(BB$2,'TIS Site Config'!$A$3:$AQ$51,18,FALSE)="Split",
                        VLOOKUP(BB$2,'TIS Site Config'!$A$3:$AQ$51,6,FALSE)="Extreme Heated"),
                             (VLOOKUP(BB$2,'TIS Site Config'!$A$3:$AQ$51,17,FALSE)-2),0),0)</f>
        <v>2</v>
      </c>
      <c r="BC69" s="222">
        <f>IF(VLOOKUP(BC$2,'TIS Site Config'!$A$4:$AQ$51,3,FALSE)&lt;&gt;"Soft",
          IF(
             AND(VLOOKUP(BC$2,'TIS Site Config'!$A$3:$AQ$51,18,FALSE)="Split",
                        VLOOKUP(BC$2,'TIS Site Config'!$A$3:$AQ$51,6,FALSE)="Extreme Heated"),
                             (VLOOKUP(BC$2,'TIS Site Config'!$A$3:$AQ$51,17,FALSE)-2),0),0)</f>
        <v>0</v>
      </c>
      <c r="BD69" s="136">
        <f>IF(VLOOKUP(BD$2,'TIS Site Config'!$A$4:$AQ$51,3,FALSE)&lt;&gt;"Soft",
          IF(
             AND(VLOOKUP(BD$2,'TIS Site Config'!$A$3:$AQ$51,18,FALSE)="Split",
                        VLOOKUP(BD$2,'TIS Site Config'!$A$3:$AQ$51,6,FALSE)="Extreme Heated"),
                             (VLOOKUP(BD$2,'TIS Site Config'!$A$3:$AQ$51,17,FALSE)-2),0),0)</f>
        <v>0</v>
      </c>
      <c r="BE69" s="21">
        <f>IF(VLOOKUP(BE$2,'TIS Site Config'!$A$4:$AQ$51,3,FALSE)&lt;&gt;"Soft",
          IF(
             AND(VLOOKUP(BE$2,'TIS Site Config'!$A$3:$AQ$51,18,FALSE)="Split",
                        VLOOKUP(BE$2,'TIS Site Config'!$A$3:$AQ$51,6,FALSE)="Extreme Heated"),
                             (VLOOKUP(BE$2,'TIS Site Config'!$A$3:$AQ$51,17,FALSE)-2),0),0)</f>
        <v>0</v>
      </c>
      <c r="BF69" s="222">
        <f>IF(VLOOKUP(BF$2,'TIS Site Config'!$A$4:$AQ$51,3,FALSE)&lt;&gt;"Soft",
          IF(
             AND(VLOOKUP(BF$2,'TIS Site Config'!$A$3:$AQ$51,18,FALSE)="Split",
                        VLOOKUP(BF$2,'TIS Site Config'!$A$3:$AQ$51,6,FALSE)="Extreme Heated"),
                             (VLOOKUP(BF$2,'TIS Site Config'!$A$3:$AQ$51,17,FALSE)-2),0),0)</f>
        <v>0</v>
      </c>
      <c r="BG69" s="62">
        <f>IF(VLOOKUP(BG$2,'TIS Site Config'!$A$4:$AQ$51,3,FALSE)&lt;&gt;"Soft",
          IF(
             AND(VLOOKUP(BG$2,'TIS Site Config'!$A$3:$AQ$51,18,FALSE)="Split",
                        VLOOKUP(BG$2,'TIS Site Config'!$A$3:$AQ$51,6,FALSE)="Extreme Heated"),
                             (VLOOKUP(BG$2,'TIS Site Config'!$A$3:$AQ$51,17,FALSE)-2),0),0)</f>
        <v>0</v>
      </c>
      <c r="BH69" s="62">
        <f>IF(VLOOKUP(BH$2,'TIS Site Config'!$A$4:$AQ$51,3,FALSE)&lt;&gt;"Soft",
          IF(
             AND(VLOOKUP(BH$2,'TIS Site Config'!$A$3:$AQ$51,18,FALSE)="Split",
                        VLOOKUP(BH$2,'TIS Site Config'!$A$3:$AQ$51,6,FALSE)="Extreme Heated"),
                             (VLOOKUP(BH$2,'TIS Site Config'!$A$3:$AQ$51,17,FALSE)-2),0),0)</f>
        <v>0</v>
      </c>
      <c r="BK69" s="44">
        <v>4</v>
      </c>
      <c r="BL69" s="950" t="b">
        <f t="shared" si="4"/>
        <v>1</v>
      </c>
      <c r="BO69" s="950"/>
    </row>
    <row r="70" spans="1:67" s="44" customFormat="1" x14ac:dyDescent="0.25">
      <c r="A70" s="1366"/>
      <c r="B70" s="1333"/>
      <c r="C70" s="69" t="s">
        <v>492</v>
      </c>
      <c r="D70" s="91">
        <v>4</v>
      </c>
      <c r="E70" s="85" t="s">
        <v>491</v>
      </c>
      <c r="F70" s="62">
        <f t="shared" si="5"/>
        <v>10</v>
      </c>
      <c r="G70" s="450"/>
      <c r="H70" s="451"/>
      <c r="I70" s="451">
        <v>1</v>
      </c>
      <c r="J70" s="451"/>
      <c r="K70" s="452"/>
      <c r="L70" s="491"/>
      <c r="M70" s="136">
        <f>IF(VLOOKUP(M$2,'TIS Site Config'!$A$4:$AQ$51,3,FALSE)&lt;&gt;"Soft",
          IF(
             AND(VLOOKUP(M$2,'TIS Site Config'!$A$3:$AQ$51,18,FALSE)="Combined",
                        VLOOKUP(M$2,'TIS Site Config'!$A$3:$AQ$51,6,FALSE)="Extreme Heated"),
                             (VLOOKUP(M$2,'TIS Site Config'!$A$3:$AQ$51,17,FALSE)-2),0),0)</f>
        <v>0</v>
      </c>
      <c r="N70" s="222">
        <f>IF(VLOOKUP(N$2,'TIS Site Config'!$A$4:$AQ$51,3,FALSE)&lt;&gt;"Soft",
          IF(
             AND(VLOOKUP(N$2,'TIS Site Config'!$A$3:$AQ$51,18,FALSE)="Combined",
                        VLOOKUP(N$2,'TIS Site Config'!$A$3:$AQ$51,6,FALSE)="Extreme Heated"),
                             (VLOOKUP(N$2,'TIS Site Config'!$A$3:$AQ$51,17,FALSE)-2),0),0)</f>
        <v>0</v>
      </c>
      <c r="O70" s="225">
        <f>IF(VLOOKUP(O$2,'TIS Site Config'!$A$4:$AQ$51,3,FALSE)&lt;&gt;"Soft",
          IF(
             AND(VLOOKUP(O$2,'TIS Site Config'!$A$3:$AQ$51,18,FALSE)="Combined",
                        VLOOKUP(O$2,'TIS Site Config'!$A$3:$AQ$51,6,FALSE)="Extreme Heated"),
                             (VLOOKUP(O$2,'TIS Site Config'!$A$3:$AQ$51,17,FALSE)-2),0),0)</f>
        <v>0</v>
      </c>
      <c r="P70" s="21">
        <f>IF(VLOOKUP(P$2,'TIS Site Config'!$A$4:$AQ$51,3,FALSE)&lt;&gt;"Soft",
          IF(
             AND(VLOOKUP(P$2,'TIS Site Config'!$A$3:$AQ$51,18,FALSE)="Combined",
                        VLOOKUP(P$2,'TIS Site Config'!$A$3:$AQ$51,6,FALSE)="Extreme Heated"),
                             (VLOOKUP(P$2,'TIS Site Config'!$A$3:$AQ$51,17,FALSE)-2),0),0)</f>
        <v>0</v>
      </c>
      <c r="Q70" s="222">
        <f>IF(VLOOKUP(Q$2,'TIS Site Config'!$A$4:$AQ$51,3,FALSE)&lt;&gt;"Soft",
          IF(
             AND(VLOOKUP(Q$2,'TIS Site Config'!$A$3:$AQ$51,18,FALSE)="Combined",
                        VLOOKUP(Q$2,'TIS Site Config'!$A$3:$AQ$51,6,FALSE)="Extreme Heated"),
                             (VLOOKUP(Q$2,'TIS Site Config'!$A$3:$AQ$51,17,FALSE)-2),0),0)</f>
        <v>0</v>
      </c>
      <c r="R70" s="136">
        <f>IF(VLOOKUP(R$2,'TIS Site Config'!$A$4:$AQ$51,3,FALSE)&lt;&gt;"Soft",
          IF(
             AND(VLOOKUP(R$2,'TIS Site Config'!$A$3:$AQ$51,18,FALSE)="Combined",
                        VLOOKUP(R$2,'TIS Site Config'!$A$3:$AQ$51,6,FALSE)="Extreme Heated"),
                             (VLOOKUP(R$2,'TIS Site Config'!$A$3:$AQ$51,17,FALSE)-2),0),0)</f>
        <v>0</v>
      </c>
      <c r="S70" s="21">
        <f>IF(VLOOKUP(S$2,'TIS Site Config'!$A$4:$AQ$51,3,FALSE)&lt;&gt;"Soft",
          IF(
             AND(VLOOKUP(S$2,'TIS Site Config'!$A$3:$AQ$51,18,FALSE)="Combined",
                        VLOOKUP(S$2,'TIS Site Config'!$A$3:$AQ$51,6,FALSE)="Extreme Heated"),
                             (VLOOKUP(S$2,'TIS Site Config'!$A$3:$AQ$51,17,FALSE)-2),0),0)</f>
        <v>0</v>
      </c>
      <c r="T70" s="222">
        <f>IF(VLOOKUP(T$2,'TIS Site Config'!$A$4:$AQ$51,3,FALSE)&lt;&gt;"Soft",
          IF(
             AND(VLOOKUP(T$2,'TIS Site Config'!$A$3:$AQ$51,18,FALSE)="Combined",
                        VLOOKUP(T$2,'TIS Site Config'!$A$3:$AQ$51,6,FALSE)="Extreme Heated"),
                             (VLOOKUP(T$2,'TIS Site Config'!$A$3:$AQ$51,17,FALSE)-2),0),0)</f>
        <v>0</v>
      </c>
      <c r="U70" s="136">
        <f>IF(VLOOKUP(U$2,'TIS Site Config'!$A$4:$AQ$51,3,FALSE)&lt;&gt;"Soft",
          IF(
             AND(VLOOKUP(U$2,'TIS Site Config'!$A$3:$AQ$51,18,FALSE)="Combined",
                        VLOOKUP(U$2,'TIS Site Config'!$A$3:$AQ$51,6,FALSE)="Extreme Heated"),
                             (VLOOKUP(U$2,'TIS Site Config'!$A$3:$AQ$51,17,FALSE)-2),0),0)</f>
        <v>0</v>
      </c>
      <c r="V70" s="222">
        <f>IF(VLOOKUP(V$2,'TIS Site Config'!$A$4:$AQ$51,3,FALSE)&lt;&gt;"Soft",
          IF(
             AND(VLOOKUP(V$2,'TIS Site Config'!$A$3:$AQ$51,18,FALSE)="Combined",
                        VLOOKUP(V$2,'TIS Site Config'!$A$3:$AQ$51,6,FALSE)="Extreme Heated"),
                             (VLOOKUP(V$2,'TIS Site Config'!$A$3:$AQ$51,17,FALSE)-2),0),0)</f>
        <v>0</v>
      </c>
      <c r="W70" s="224">
        <f>IF(VLOOKUP(W$2,'TIS Site Config'!$A$4:$AQ$51,3,FALSE)&lt;&gt;"Soft",
          IF(
             AND(VLOOKUP(W$2,'TIS Site Config'!$A$3:$AQ$51,18,FALSE)="Combined",
                        VLOOKUP(W$2,'TIS Site Config'!$A$3:$AQ$51,6,FALSE)="Extreme Heated"),
                             (VLOOKUP(W$2,'TIS Site Config'!$A$3:$AQ$51,17,FALSE)-2),0),0)</f>
        <v>0</v>
      </c>
      <c r="X70" s="21">
        <f>IF(VLOOKUP(X$2,'TIS Site Config'!$A$4:$AQ$51,3,FALSE)&lt;&gt;"Soft",
          IF(
             AND(VLOOKUP(X$2,'TIS Site Config'!$A$3:$AQ$51,18,FALSE)="Combined",
                        VLOOKUP(X$2,'TIS Site Config'!$A$3:$AQ$51,6,FALSE)="Extreme Heated"),
                             (VLOOKUP(X$2,'TIS Site Config'!$A$3:$AQ$51,17,FALSE)-2),0),0)</f>
        <v>0</v>
      </c>
      <c r="Y70" s="222">
        <f>IF(VLOOKUP(Y$2,'TIS Site Config'!$A$4:$AQ$51,3,FALSE)&lt;&gt;"Soft",
          IF(
             AND(VLOOKUP(Y$2,'TIS Site Config'!$A$3:$AQ$51,18,FALSE)="Combined",
                        VLOOKUP(Y$2,'TIS Site Config'!$A$3:$AQ$51,6,FALSE)="Extreme Heated"),
                             (VLOOKUP(Y$2,'TIS Site Config'!$A$3:$AQ$51,17,FALSE)-2),0),0)</f>
        <v>0</v>
      </c>
      <c r="Z70" s="136">
        <f>IF(VLOOKUP(Z$2,'TIS Site Config'!$A$4:$AQ$51,3,FALSE)&lt;&gt;"Soft",
          IF(
             AND(VLOOKUP(Z$2,'TIS Site Config'!$A$3:$AQ$51,18,FALSE)="Combined",
                        VLOOKUP(Z$2,'TIS Site Config'!$A$3:$AQ$51,6,FALSE)="Extreme Heated"),
                             (VLOOKUP(Z$2,'TIS Site Config'!$A$3:$AQ$51,17,FALSE)-2),0),0)</f>
        <v>0</v>
      </c>
      <c r="AA70" s="21">
        <f>IF(VLOOKUP(AA$2,'TIS Site Config'!$A$4:$AQ$51,3,FALSE)&lt;&gt;"Soft",
          IF(
             AND(VLOOKUP(AA$2,'TIS Site Config'!$A$3:$AQ$51,18,FALSE)="Combined",
                        VLOOKUP(AA$2,'TIS Site Config'!$A$3:$AQ$51,6,FALSE)="Extreme Heated"),
                             (VLOOKUP(AA$2,'TIS Site Config'!$A$3:$AQ$51,17,FALSE)-2),0),0)</f>
        <v>0</v>
      </c>
      <c r="AB70" s="222">
        <f>IF(VLOOKUP(AB$2,'TIS Site Config'!$A$4:$AQ$51,3,FALSE)&lt;&gt;"Soft",
          IF(
             AND(VLOOKUP(AB$2,'TIS Site Config'!$A$3:$AQ$51,18,FALSE)="Combined",
                        VLOOKUP(AB$2,'TIS Site Config'!$A$3:$AQ$51,6,FALSE)="Extreme Heated"),
                             (VLOOKUP(AB$2,'TIS Site Config'!$A$3:$AQ$51,17,FALSE)-2),0),0)</f>
        <v>0</v>
      </c>
      <c r="AC70" s="21">
        <f>IF(VLOOKUP(AC$2,'TIS Site Config'!$A$4:$AQ$51,3,FALSE)&lt;&gt;"Soft",
          IF(
             AND(VLOOKUP(AC$2,'TIS Site Config'!$A$3:$AQ$51,18,FALSE)="Combined",
                        VLOOKUP(AC$2,'TIS Site Config'!$A$3:$AQ$51,6,FALSE)="Extreme Heated"),
                             (VLOOKUP(AC$2,'TIS Site Config'!$A$3:$AQ$51,17,FALSE)-2),0),0)</f>
        <v>0</v>
      </c>
      <c r="AD70" s="223">
        <f>IF(VLOOKUP(AD$2,'TIS Site Config'!$A$4:$AQ$51,3,FALSE)&lt;&gt;"Soft",
          IF(
             AND(VLOOKUP(AD$2,'TIS Site Config'!$A$3:$AQ$51,18,FALSE)="Combined",
                        VLOOKUP(AD$2,'TIS Site Config'!$A$3:$AQ$51,6,FALSE)="Extreme Heated"),
                             (VLOOKUP(AD$2,'TIS Site Config'!$A$3:$AQ$51,17,FALSE)-2),0),0)</f>
        <v>0</v>
      </c>
      <c r="AE70" s="223">
        <f>IF(VLOOKUP(AE$2,'TIS Site Config'!$A$4:$AQ$51,3,FALSE)&lt;&gt;"Soft",
          IF(
             AND(VLOOKUP(AE$2,'TIS Site Config'!$A$3:$AQ$51,18,FALSE)="Combined",
                        VLOOKUP(AE$2,'TIS Site Config'!$A$3:$AQ$51,6,FALSE)="Extreme Heated"),
                             (VLOOKUP(AE$2,'TIS Site Config'!$A$3:$AQ$51,17,FALSE)-2),0),0)</f>
        <v>0</v>
      </c>
      <c r="AF70" s="16">
        <f>IF(VLOOKUP(AF$2,'TIS Site Config'!$A$4:$AQ$51,3,FALSE)&lt;&gt;"Soft",
          IF(
             AND(VLOOKUP(AF$2,'TIS Site Config'!$A$3:$AQ$51,18,FALSE)="Combined",
                        VLOOKUP(AF$2,'TIS Site Config'!$A$3:$AQ$51,6,FALSE)="Extreme Heated"),
                             (VLOOKUP(AF$2,'TIS Site Config'!$A$3:$AQ$51,17,FALSE)-2),0),0)</f>
        <v>0</v>
      </c>
      <c r="AG70" s="21">
        <f>IF(VLOOKUP(AG$2,'TIS Site Config'!$A$4:$AQ$51,3,FALSE)&lt;&gt;"Soft",
          IF(
             AND(VLOOKUP(AG$2,'TIS Site Config'!$A$3:$AQ$51,18,FALSE)="Combined",
                        VLOOKUP(AG$2,'TIS Site Config'!$A$3:$AQ$51,6,FALSE)="Extreme Heated"),
                             (VLOOKUP(AG$2,'TIS Site Config'!$A$3:$AQ$51,17,FALSE)-2),0),0)</f>
        <v>0</v>
      </c>
      <c r="AH70" s="222">
        <f>IF(VLOOKUP(AH$2,'TIS Site Config'!$A$4:$AQ$51,3,FALSE)&lt;&gt;"Soft",
          IF(
             AND(VLOOKUP(AH$2,'TIS Site Config'!$A$3:$AQ$51,18,FALSE)="Combined",
                        VLOOKUP(AH$2,'TIS Site Config'!$A$3:$AQ$51,6,FALSE)="Extreme Heated"),
                             (VLOOKUP(AH$2,'TIS Site Config'!$A$3:$AQ$51,17,FALSE)-2),0),0)</f>
        <v>0</v>
      </c>
      <c r="AI70" s="136">
        <f>IF(VLOOKUP(AI$2,'TIS Site Config'!$A$4:$AQ$51,3,FALSE)&lt;&gt;"Soft",
          IF(
             AND(VLOOKUP(AI$2,'TIS Site Config'!$A$3:$AQ$51,18,FALSE)="Combined",
                        VLOOKUP(AI$2,'TIS Site Config'!$A$3:$AQ$51,6,FALSE)="Extreme Heated"),
                             (VLOOKUP(AI$2,'TIS Site Config'!$A$3:$AQ$51,17,FALSE)-2),0),0)</f>
        <v>0</v>
      </c>
      <c r="AJ70" s="21">
        <f>IF(VLOOKUP(AJ$2,'TIS Site Config'!$A$4:$AQ$51,3,FALSE)&lt;&gt;"Soft",
          IF(
             AND(VLOOKUP(AJ$2,'TIS Site Config'!$A$3:$AQ$51,18,FALSE)="Combined",
                        VLOOKUP(AJ$2,'TIS Site Config'!$A$3:$AQ$51,6,FALSE)="Extreme Heated"),
                             (VLOOKUP(AJ$2,'TIS Site Config'!$A$3:$AQ$51,17,FALSE)-2),0),0)</f>
        <v>0</v>
      </c>
      <c r="AK70" s="222">
        <f>IF(VLOOKUP(AK$2,'TIS Site Config'!$A$4:$AQ$51,3,FALSE)&lt;&gt;"Soft",
          IF(
             AND(VLOOKUP(AK$2,'TIS Site Config'!$A$3:$AQ$51,18,FALSE)="Combined",
                        VLOOKUP(AK$2,'TIS Site Config'!$A$3:$AQ$51,6,FALSE)="Extreme Heated"),
                             (VLOOKUP(AK$2,'TIS Site Config'!$A$3:$AQ$51,17,FALSE)-2),0),0)</f>
        <v>0</v>
      </c>
      <c r="AL70" s="136">
        <f>IF(VLOOKUP(AL$2,'TIS Site Config'!$A$4:$AQ$51,3,FALSE)&lt;&gt;"Soft",
          IF(
             AND(VLOOKUP(AL$2,'TIS Site Config'!$A$3:$AQ$51,18,FALSE)="Combined",
                        VLOOKUP(AL$2,'TIS Site Config'!$A$3:$AQ$51,6,FALSE)="Extreme Heated"),
                             (VLOOKUP(AL$2,'TIS Site Config'!$A$3:$AQ$51,17,FALSE)-2),0),0)</f>
        <v>0</v>
      </c>
      <c r="AM70" s="21">
        <f>IF(VLOOKUP(AM$2,'TIS Site Config'!$A$4:$AQ$51,3,FALSE)&lt;&gt;"Soft",
          IF(
             AND(VLOOKUP(AM$2,'TIS Site Config'!$A$3:$AQ$51,18,FALSE)="Combined",
                        VLOOKUP(AM$2,'TIS Site Config'!$A$3:$AQ$51,6,FALSE)="Extreme Heated"),
                             (VLOOKUP(AM$2,'TIS Site Config'!$A$3:$AQ$51,17,FALSE)-2),0),0)</f>
        <v>0</v>
      </c>
      <c r="AN70" s="222">
        <f>IF(VLOOKUP(AN$2,'TIS Site Config'!$A$4:$AQ$51,3,FALSE)&lt;&gt;"Soft",
          IF(
             AND(VLOOKUP(AN$2,'TIS Site Config'!$A$3:$AQ$51,18,FALSE)="Combined",
                        VLOOKUP(AN$2,'TIS Site Config'!$A$3:$AQ$51,6,FALSE)="Extreme Heated"),
                             (VLOOKUP(AN$2,'TIS Site Config'!$A$3:$AQ$51,17,FALSE)-2),0),0)</f>
        <v>0</v>
      </c>
      <c r="AO70" s="136">
        <f>IF(VLOOKUP(AO$2,'TIS Site Config'!$A$4:$AQ$51,3,FALSE)&lt;&gt;"Soft",
          IF(
             AND(VLOOKUP(AO$2,'TIS Site Config'!$A$3:$AQ$51,18,FALSE)="Combined",
                        VLOOKUP(AO$2,'TIS Site Config'!$A$3:$AQ$51,6,FALSE)="Extreme Heated"),
                             (VLOOKUP(AO$2,'TIS Site Config'!$A$3:$AQ$51,17,FALSE)-2),0),0)</f>
        <v>0</v>
      </c>
      <c r="AP70" s="21">
        <f>IF(VLOOKUP(AP$2,'TIS Site Config'!$A$4:$AQ$51,3,FALSE)&lt;&gt;"Soft",
          IF(
             AND(VLOOKUP(AP$2,'TIS Site Config'!$A$3:$AQ$51,18,FALSE)="Combined",
                        VLOOKUP(AP$2,'TIS Site Config'!$A$3:$AQ$51,6,FALSE)="Extreme Heated"),
                             (VLOOKUP(AP$2,'TIS Site Config'!$A$3:$AQ$51,17,FALSE)-2),0),0)</f>
        <v>0</v>
      </c>
      <c r="AQ70" s="136">
        <f>IF(VLOOKUP(AQ$2,'TIS Site Config'!$A$4:$AQ$51,3,FALSE)&lt;&gt;"Soft",
          IF(
             AND(VLOOKUP(AQ$2,'TIS Site Config'!$A$3:$AQ$51,18,FALSE)="Combined",
                        VLOOKUP(AQ$2,'TIS Site Config'!$A$3:$AQ$51,6,FALSE)="Extreme Heated"),
                             (VLOOKUP(AQ$2,'TIS Site Config'!$A$3:$AQ$51,17,FALSE)-2),0),0)</f>
        <v>0</v>
      </c>
      <c r="AR70" s="136">
        <f>IF(VLOOKUP(AR$2,'TIS Site Config'!$A$4:$AQ$51,3,FALSE)&lt;&gt;"Soft",
          IF(
             AND(VLOOKUP(AR$2,'TIS Site Config'!$A$3:$AQ$51,18,FALSE)="Combined",
                        VLOOKUP(AR$2,'TIS Site Config'!$A$3:$AQ$51,6,FALSE)="Extreme Heated"),
                             (VLOOKUP(AR$2,'TIS Site Config'!$A$3:$AQ$51,17,FALSE)-2),0),0)</f>
        <v>0</v>
      </c>
      <c r="AS70" s="21">
        <f>IF(VLOOKUP(AS$2,'TIS Site Config'!$A$4:$AQ$51,3,FALSE)&lt;&gt;"Soft",
          IF(
             AND(VLOOKUP(AS$2,'TIS Site Config'!$A$3:$AQ$51,18,FALSE)="Combined",
                        VLOOKUP(AS$2,'TIS Site Config'!$A$3:$AQ$51,6,FALSE)="Extreme Heated"),
                             (VLOOKUP(AS$2,'TIS Site Config'!$A$3:$AQ$51,17,FALSE)-2),0),0)</f>
        <v>0</v>
      </c>
      <c r="AT70" s="136">
        <f>IF(VLOOKUP(AT$2,'TIS Site Config'!$A$4:$AQ$51,3,FALSE)&lt;&gt;"Soft",
          IF(
             AND(VLOOKUP(AT$2,'TIS Site Config'!$A$3:$AQ$51,18,FALSE)="Combined",
                        VLOOKUP(AT$2,'TIS Site Config'!$A$3:$AQ$51,6,FALSE)="Extreme Heated"),
                             (VLOOKUP(AT$2,'TIS Site Config'!$A$3:$AQ$51,17,FALSE)-2),0),0)</f>
        <v>0</v>
      </c>
      <c r="AU70" s="21">
        <f>IF(VLOOKUP(AU$2,'TIS Site Config'!$A$4:$AQ$51,3,FALSE)&lt;&gt;"Soft",
          IF(
             AND(VLOOKUP(AU$2,'TIS Site Config'!$A$3:$AQ$51,18,FALSE)="Combined",
                        VLOOKUP(AU$2,'TIS Site Config'!$A$3:$AQ$51,6,FALSE)="Extreme Heated"),
                             (VLOOKUP(AU$2,'TIS Site Config'!$A$3:$AQ$51,17,FALSE)-2),0),0)</f>
        <v>0</v>
      </c>
      <c r="AV70" s="136">
        <f>IF(VLOOKUP(AV$2,'TIS Site Config'!$A$4:$AQ$51,3,FALSE)&lt;&gt;"Soft",
          IF(
             AND(VLOOKUP(AV$2,'TIS Site Config'!$A$3:$AQ$51,18,FALSE)="Combined",
                        VLOOKUP(AV$2,'TIS Site Config'!$A$3:$AQ$51,6,FALSE)="Extreme Heated"),
                             (VLOOKUP(AV$2,'TIS Site Config'!$A$3:$AQ$51,17,FALSE)-2),0),0)</f>
        <v>0</v>
      </c>
      <c r="AW70" s="136">
        <f>IF(VLOOKUP(AW$2,'TIS Site Config'!$A$4:$AQ$51,3,FALSE)&lt;&gt;"Soft",
          IF(
             AND(VLOOKUP(AW$2,'TIS Site Config'!$A$3:$AQ$51,18,FALSE)="Combined",
                        VLOOKUP(AW$2,'TIS Site Config'!$A$3:$AQ$51,6,FALSE)="Extreme Heated"),
                             (VLOOKUP(AW$2,'TIS Site Config'!$A$3:$AQ$51,17,FALSE)-2),0),0)</f>
        <v>0</v>
      </c>
      <c r="AX70" s="222">
        <f>IF(VLOOKUP(AX$2,'TIS Site Config'!$A$4:$AQ$51,3,FALSE)&lt;&gt;"Soft",
          IF(
             AND(VLOOKUP(AX$2,'TIS Site Config'!$A$3:$AQ$51,18,FALSE)="Combined",
                        VLOOKUP(AX$2,'TIS Site Config'!$A$3:$AQ$51,6,FALSE)="Extreme Heated"),
                             (VLOOKUP(AX$2,'TIS Site Config'!$A$3:$AQ$51,17,FALSE)-2),0),0)</f>
        <v>0</v>
      </c>
      <c r="AY70" s="136">
        <f>IF(VLOOKUP(AY$2,'TIS Site Config'!$A$4:$AQ$51,3,FALSE)&lt;&gt;"Soft",
          IF(
             AND(VLOOKUP(AY$2,'TIS Site Config'!$A$3:$AQ$51,18,FALSE)="Combined",
                        VLOOKUP(AY$2,'TIS Site Config'!$A$3:$AQ$51,6,FALSE)="Extreme Heated"),
                             (VLOOKUP(AY$2,'TIS Site Config'!$A$3:$AQ$51,17,FALSE)-2),0),0)</f>
        <v>0</v>
      </c>
      <c r="AZ70" s="21">
        <f>IF(VLOOKUP(AZ$2,'TIS Site Config'!$A$4:$AQ$51,3,FALSE)&lt;&gt;"Soft",
          IF(
             AND(VLOOKUP(AZ$2,'TIS Site Config'!$A$3:$AQ$51,18,FALSE)="Combined",
                        VLOOKUP(AZ$2,'TIS Site Config'!$A$3:$AQ$51,6,FALSE)="Extreme Heated"),
                             (VLOOKUP(AZ$2,'TIS Site Config'!$A$3:$AQ$51,17,FALSE)-2),0),0)</f>
        <v>0</v>
      </c>
      <c r="BA70" s="223">
        <f>IF(VLOOKUP(BA$2,'TIS Site Config'!$A$4:$AQ$51,3,FALSE)&lt;&gt;"Soft",
          IF(
             AND(VLOOKUP(BA$2,'TIS Site Config'!$A$3:$AQ$51,18,FALSE)="Combined",
                        VLOOKUP(BA$2,'TIS Site Config'!$A$3:$AQ$51,6,FALSE)="Extreme Heated"),
                             (VLOOKUP(BA$2,'TIS Site Config'!$A$3:$AQ$51,17,FALSE)-2),0),0)</f>
        <v>0</v>
      </c>
      <c r="BB70" s="136">
        <f>IF(VLOOKUP(BB$2,'TIS Site Config'!$A$4:$AQ$51,3,FALSE)&lt;&gt;"Soft",
          IF(
             AND(VLOOKUP(BB$2,'TIS Site Config'!$A$3:$AQ$51,18,FALSE)="Combined",
                        VLOOKUP(BB$2,'TIS Site Config'!$A$3:$AQ$51,6,FALSE)="Extreme Heated"),
                             (VLOOKUP(BB$2,'TIS Site Config'!$A$3:$AQ$51,17,FALSE)-2),0),0)</f>
        <v>0</v>
      </c>
      <c r="BC70" s="222">
        <f>IF(VLOOKUP(BC$2,'TIS Site Config'!$A$4:$AQ$51,3,FALSE)&lt;&gt;"Soft",
          IF(
             AND(VLOOKUP(BC$2,'TIS Site Config'!$A$3:$AQ$51,18,FALSE)="Combined",
                        VLOOKUP(BC$2,'TIS Site Config'!$A$3:$AQ$51,6,FALSE)="Extreme Heated"),
                             (VLOOKUP(BC$2,'TIS Site Config'!$A$3:$AQ$51,17,FALSE)-2),0),0)</f>
        <v>2</v>
      </c>
      <c r="BD70" s="136">
        <f>IF(VLOOKUP(BD$2,'TIS Site Config'!$A$4:$AQ$51,3,FALSE)&lt;&gt;"Soft",
          IF(
             AND(VLOOKUP(BD$2,'TIS Site Config'!$A$3:$AQ$51,18,FALSE)="Combined",
                        VLOOKUP(BD$2,'TIS Site Config'!$A$3:$AQ$51,6,FALSE)="Extreme Heated"),
                             (VLOOKUP(BD$2,'TIS Site Config'!$A$3:$AQ$51,17,FALSE)-2),0),0)</f>
        <v>3</v>
      </c>
      <c r="BE70" s="21">
        <f>IF(VLOOKUP(BE$2,'TIS Site Config'!$A$4:$AQ$51,3,FALSE)&lt;&gt;"Soft",
          IF(
             AND(VLOOKUP(BE$2,'TIS Site Config'!$A$3:$AQ$51,18,FALSE)="Combined",
                        VLOOKUP(BE$2,'TIS Site Config'!$A$3:$AQ$51,6,FALSE)="Extreme Heated"),
                             (VLOOKUP(BE$2,'TIS Site Config'!$A$3:$AQ$51,17,FALSE)-2),0),0)</f>
        <v>3</v>
      </c>
      <c r="BF70" s="222">
        <f>IF(VLOOKUP(BF$2,'TIS Site Config'!$A$4:$AQ$51,3,FALSE)&lt;&gt;"Soft",
          IF(
             AND(VLOOKUP(BF$2,'TIS Site Config'!$A$3:$AQ$51,18,FALSE)="Combined",
                        VLOOKUP(BF$2,'TIS Site Config'!$A$3:$AQ$51,6,FALSE)="Extreme Heated"),
                             (VLOOKUP(BF$2,'TIS Site Config'!$A$3:$AQ$51,17,FALSE)-2),0),0)</f>
        <v>2</v>
      </c>
      <c r="BG70" s="62">
        <f>IF(VLOOKUP(BG$2,'TIS Site Config'!$A$4:$AQ$51,3,FALSE)&lt;&gt;"Soft",
          IF(
             AND(VLOOKUP(BG$2,'TIS Site Config'!$A$3:$AQ$51,18,FALSE)="Combined",
                        VLOOKUP(BG$2,'TIS Site Config'!$A$3:$AQ$51,6,FALSE)="Extreme Heated"),
                             (VLOOKUP(BG$2,'TIS Site Config'!$A$3:$AQ$51,17,FALSE)-2),0),0)</f>
        <v>0</v>
      </c>
      <c r="BH70" s="62">
        <f>IF(VLOOKUP(BH$2,'TIS Site Config'!$A$4:$AQ$51,3,FALSE)&lt;&gt;"Soft",
          IF(
             AND(VLOOKUP(BH$2,'TIS Site Config'!$A$3:$AQ$51,18,FALSE)="Combined",
                        VLOOKUP(BH$2,'TIS Site Config'!$A$3:$AQ$51,6,FALSE)="Extreme Heated"),
                             (VLOOKUP(BH$2,'TIS Site Config'!$A$3:$AQ$51,17,FALSE)-2),0),0)</f>
        <v>0</v>
      </c>
      <c r="BK70" s="44">
        <v>13</v>
      </c>
      <c r="BL70" s="950" t="b">
        <f t="shared" si="4"/>
        <v>0</v>
      </c>
      <c r="BO70" s="950"/>
    </row>
    <row r="71" spans="1:67" s="44" customFormat="1" x14ac:dyDescent="0.25">
      <c r="A71" s="1366"/>
      <c r="B71" s="1333"/>
      <c r="C71" s="69" t="s">
        <v>489</v>
      </c>
      <c r="D71" s="91">
        <v>4</v>
      </c>
      <c r="E71" s="85" t="s">
        <v>490</v>
      </c>
      <c r="F71" s="62">
        <f t="shared" si="5"/>
        <v>2</v>
      </c>
      <c r="G71" s="450"/>
      <c r="H71" s="451"/>
      <c r="I71" s="451">
        <v>1</v>
      </c>
      <c r="J71" s="451"/>
      <c r="K71" s="452"/>
      <c r="L71" s="491"/>
      <c r="M71" s="136">
        <f>IF(VLOOKUP(M$2,'TIS Site Config'!$A$4:$AQ$51,3,FALSE)&lt;&gt;"Soft",
          IF(
                       AND(VLOOKUP(M$2,'TIS Site Config'!$A$3:$AQ$51,18,FALSE)="Split",
                        VLOOKUP(M$2,'TIS Site Config'!$A$3:$AQ$51,6,FALSE)="Extreme Heated"),
                              1,0),0)</f>
        <v>0</v>
      </c>
      <c r="N71" s="222">
        <f>IF(VLOOKUP(N$2,'TIS Site Config'!$A$4:$AQ$51,3,FALSE)&lt;&gt;"Soft",
          IF(
                       AND(VLOOKUP(N$2,'TIS Site Config'!$A$3:$AQ$51,18,FALSE)="Split",
                        VLOOKUP(N$2,'TIS Site Config'!$A$3:$AQ$51,6,FALSE)="Extreme Heated"),
                              1,0),0)</f>
        <v>0</v>
      </c>
      <c r="O71" s="225">
        <f>IF(VLOOKUP(O$2,'TIS Site Config'!$A$4:$AQ$51,3,FALSE)&lt;&gt;"Soft",
          IF(
                       AND(VLOOKUP(O$2,'TIS Site Config'!$A$3:$AQ$51,18,FALSE)="Split",
                        VLOOKUP(O$2,'TIS Site Config'!$A$3:$AQ$51,6,FALSE)="Extreme Heated"),
                              1,0),0)</f>
        <v>0</v>
      </c>
      <c r="P71" s="21">
        <f>IF(VLOOKUP(P$2,'TIS Site Config'!$A$4:$AQ$51,3,FALSE)&lt;&gt;"Soft",
          IF(
                       AND(VLOOKUP(P$2,'TIS Site Config'!$A$3:$AQ$51,18,FALSE)="Split",
                        VLOOKUP(P$2,'TIS Site Config'!$A$3:$AQ$51,6,FALSE)="Extreme Heated"),
                              1,0),0)</f>
        <v>0</v>
      </c>
      <c r="Q71" s="222">
        <f>IF(VLOOKUP(Q$2,'TIS Site Config'!$A$4:$AQ$51,3,FALSE)&lt;&gt;"Soft",
          IF(
                       AND(VLOOKUP(Q$2,'TIS Site Config'!$A$3:$AQ$51,18,FALSE)="Split",
                        VLOOKUP(Q$2,'TIS Site Config'!$A$3:$AQ$51,6,FALSE)="Extreme Heated"),
                              1,0),0)</f>
        <v>0</v>
      </c>
      <c r="R71" s="136">
        <f>IF(VLOOKUP(R$2,'TIS Site Config'!$A$4:$AQ$51,3,FALSE)&lt;&gt;"Soft",
          IF(
                       AND(VLOOKUP(R$2,'TIS Site Config'!$A$3:$AQ$51,18,FALSE)="Split",
                        VLOOKUP(R$2,'TIS Site Config'!$A$3:$AQ$51,6,FALSE)="Extreme Heated"),
                              1,0),0)</f>
        <v>0</v>
      </c>
      <c r="S71" s="21">
        <f>IF(VLOOKUP(S$2,'TIS Site Config'!$A$4:$AQ$51,3,FALSE)&lt;&gt;"Soft",
          IF(
                       AND(VLOOKUP(S$2,'TIS Site Config'!$A$3:$AQ$51,18,FALSE)="Split",
                        VLOOKUP(S$2,'TIS Site Config'!$A$3:$AQ$51,6,FALSE)="Extreme Heated"),
                              1,0),0)</f>
        <v>0</v>
      </c>
      <c r="T71" s="222">
        <f>IF(VLOOKUP(T$2,'TIS Site Config'!$A$4:$AQ$51,3,FALSE)&lt;&gt;"Soft",
          IF(
                       AND(VLOOKUP(T$2,'TIS Site Config'!$A$3:$AQ$51,18,FALSE)="Split",
                        VLOOKUP(T$2,'TIS Site Config'!$A$3:$AQ$51,6,FALSE)="Extreme Heated"),
                              1,0),0)</f>
        <v>0</v>
      </c>
      <c r="U71" s="136">
        <f>IF(VLOOKUP(U$2,'TIS Site Config'!$A$4:$AQ$51,3,FALSE)&lt;&gt;"Soft",
          IF(
                       AND(VLOOKUP(U$2,'TIS Site Config'!$A$3:$AQ$51,18,FALSE)="Split",
                        VLOOKUP(U$2,'TIS Site Config'!$A$3:$AQ$51,6,FALSE)="Extreme Heated"),
                              1,0),0)</f>
        <v>0</v>
      </c>
      <c r="V71" s="222">
        <f>IF(VLOOKUP(V$2,'TIS Site Config'!$A$4:$AQ$51,3,FALSE)&lt;&gt;"Soft",
          IF(
                       AND(VLOOKUP(V$2,'TIS Site Config'!$A$3:$AQ$51,18,FALSE)="Split",
                        VLOOKUP(V$2,'TIS Site Config'!$A$3:$AQ$51,6,FALSE)="Extreme Heated"),
                              1,0),0)</f>
        <v>0</v>
      </c>
      <c r="W71" s="224">
        <f>IF(VLOOKUP(W$2,'TIS Site Config'!$A$4:$AQ$51,3,FALSE)&lt;&gt;"Soft",
          IF(
                       AND(VLOOKUP(W$2,'TIS Site Config'!$A$3:$AQ$51,18,FALSE)="Split",
                        VLOOKUP(W$2,'TIS Site Config'!$A$3:$AQ$51,6,FALSE)="Extreme Heated"),
                              1,0),0)</f>
        <v>0</v>
      </c>
      <c r="X71" s="21">
        <f>IF(VLOOKUP(X$2,'TIS Site Config'!$A$4:$AQ$51,3,FALSE)&lt;&gt;"Soft",
          IF(
                       AND(VLOOKUP(X$2,'TIS Site Config'!$A$3:$AQ$51,18,FALSE)="Split",
                        VLOOKUP(X$2,'TIS Site Config'!$A$3:$AQ$51,6,FALSE)="Extreme Heated"),
                              1,0),0)</f>
        <v>0</v>
      </c>
      <c r="Y71" s="222">
        <f>IF(VLOOKUP(Y$2,'TIS Site Config'!$A$4:$AQ$51,3,FALSE)&lt;&gt;"Soft",
          IF(
                       AND(VLOOKUP(Y$2,'TIS Site Config'!$A$3:$AQ$51,18,FALSE)="Split",
                        VLOOKUP(Y$2,'TIS Site Config'!$A$3:$AQ$51,6,FALSE)="Extreme Heated"),
                              1,0),0)</f>
        <v>0</v>
      </c>
      <c r="Z71" s="136">
        <f>IF(VLOOKUP(Z$2,'TIS Site Config'!$A$4:$AQ$51,3,FALSE)&lt;&gt;"Soft",
          IF(
                       AND(VLOOKUP(Z$2,'TIS Site Config'!$A$3:$AQ$51,18,FALSE)="Split",
                        VLOOKUP(Z$2,'TIS Site Config'!$A$3:$AQ$51,6,FALSE)="Extreme Heated"),
                              1,0),0)</f>
        <v>0</v>
      </c>
      <c r="AA71" s="21">
        <f>IF(VLOOKUP(AA$2,'TIS Site Config'!$A$4:$AQ$51,3,FALSE)&lt;&gt;"Soft",
          IF(
                       AND(VLOOKUP(AA$2,'TIS Site Config'!$A$3:$AQ$51,18,FALSE)="Split",
                        VLOOKUP(AA$2,'TIS Site Config'!$A$3:$AQ$51,6,FALSE)="Extreme Heated"),
                              1,0),0)</f>
        <v>0</v>
      </c>
      <c r="AB71" s="222">
        <f>IF(VLOOKUP(AB$2,'TIS Site Config'!$A$4:$AQ$51,3,FALSE)&lt;&gt;"Soft",
          IF(
                       AND(VLOOKUP(AB$2,'TIS Site Config'!$A$3:$AQ$51,18,FALSE)="Split",
                        VLOOKUP(AB$2,'TIS Site Config'!$A$3:$AQ$51,6,FALSE)="Extreme Heated"),
                              1,0),0)</f>
        <v>0</v>
      </c>
      <c r="AC71" s="21">
        <f>IF(VLOOKUP(AC$2,'TIS Site Config'!$A$4:$AQ$51,3,FALSE)&lt;&gt;"Soft",
          IF(
                       AND(VLOOKUP(AC$2,'TIS Site Config'!$A$3:$AQ$51,18,FALSE)="Split",
                        VLOOKUP(AC$2,'TIS Site Config'!$A$3:$AQ$51,6,FALSE)="Extreme Heated"),
                              1,0),0)</f>
        <v>0</v>
      </c>
      <c r="AD71" s="223">
        <f>IF(VLOOKUP(AD$2,'TIS Site Config'!$A$4:$AQ$51,3,FALSE)&lt;&gt;"Soft",
          IF(
                       AND(VLOOKUP(AD$2,'TIS Site Config'!$A$3:$AQ$51,18,FALSE)="Split",
                        VLOOKUP(AD$2,'TIS Site Config'!$A$3:$AQ$51,6,FALSE)="Extreme Heated"),
                              1,0),0)</f>
        <v>0</v>
      </c>
      <c r="AE71" s="223">
        <f>IF(VLOOKUP(AE$2,'TIS Site Config'!$A$4:$AQ$51,3,FALSE)&lt;&gt;"Soft",
          IF(
                       AND(VLOOKUP(AE$2,'TIS Site Config'!$A$3:$AQ$51,18,FALSE)="Split",
                        VLOOKUP(AE$2,'TIS Site Config'!$A$3:$AQ$51,6,FALSE)="Extreme Heated"),
                              1,0),0)</f>
        <v>0</v>
      </c>
      <c r="AF71" s="16">
        <f>IF(VLOOKUP(AF$2,'TIS Site Config'!$A$4:$AQ$51,3,FALSE)&lt;&gt;"Soft",
          IF(
                       AND(VLOOKUP(AF$2,'TIS Site Config'!$A$3:$AQ$51,18,FALSE)="Split",
                        VLOOKUP(AF$2,'TIS Site Config'!$A$3:$AQ$51,6,FALSE)="Extreme Heated"),
                              1,0),0)</f>
        <v>0</v>
      </c>
      <c r="AG71" s="21">
        <f>IF(VLOOKUP(AG$2,'TIS Site Config'!$A$4:$AQ$51,3,FALSE)&lt;&gt;"Soft",
          IF(
                       AND(VLOOKUP(AG$2,'TIS Site Config'!$A$3:$AQ$51,18,FALSE)="Split",
                        VLOOKUP(AG$2,'TIS Site Config'!$A$3:$AQ$51,6,FALSE)="Extreme Heated"),
                              1,0),0)</f>
        <v>0</v>
      </c>
      <c r="AH71" s="222">
        <f>IF(VLOOKUP(AH$2,'TIS Site Config'!$A$4:$AQ$51,3,FALSE)&lt;&gt;"Soft",
          IF(
                       AND(VLOOKUP(AH$2,'TIS Site Config'!$A$3:$AQ$51,18,FALSE)="Split",
                        VLOOKUP(AH$2,'TIS Site Config'!$A$3:$AQ$51,6,FALSE)="Extreme Heated"),
                              1,0),0)</f>
        <v>0</v>
      </c>
      <c r="AI71" s="136">
        <f>IF(VLOOKUP(AI$2,'TIS Site Config'!$A$4:$AQ$51,3,FALSE)&lt;&gt;"Soft",
          IF(
                       AND(VLOOKUP(AI$2,'TIS Site Config'!$A$3:$AQ$51,18,FALSE)="Split",
                        VLOOKUP(AI$2,'TIS Site Config'!$A$3:$AQ$51,6,FALSE)="Extreme Heated"),
                              1,0),0)</f>
        <v>0</v>
      </c>
      <c r="AJ71" s="21">
        <f>IF(VLOOKUP(AJ$2,'TIS Site Config'!$A$4:$AQ$51,3,FALSE)&lt;&gt;"Soft",
          IF(
                       AND(VLOOKUP(AJ$2,'TIS Site Config'!$A$3:$AQ$51,18,FALSE)="Split",
                        VLOOKUP(AJ$2,'TIS Site Config'!$A$3:$AQ$51,6,FALSE)="Extreme Heated"),
                              1,0),0)</f>
        <v>0</v>
      </c>
      <c r="AK71" s="222">
        <f>IF(VLOOKUP(AK$2,'TIS Site Config'!$A$4:$AQ$51,3,FALSE)&lt;&gt;"Soft",
          IF(
                       AND(VLOOKUP(AK$2,'TIS Site Config'!$A$3:$AQ$51,18,FALSE)="Split",
                        VLOOKUP(AK$2,'TIS Site Config'!$A$3:$AQ$51,6,FALSE)="Extreme Heated"),
                              1,0),0)</f>
        <v>0</v>
      </c>
      <c r="AL71" s="136">
        <f>IF(VLOOKUP(AL$2,'TIS Site Config'!$A$4:$AQ$51,3,FALSE)&lt;&gt;"Soft",
          IF(
                       AND(VLOOKUP(AL$2,'TIS Site Config'!$A$3:$AQ$51,18,FALSE)="Split",
                        VLOOKUP(AL$2,'TIS Site Config'!$A$3:$AQ$51,6,FALSE)="Extreme Heated"),
                              1,0),0)</f>
        <v>0</v>
      </c>
      <c r="AM71" s="21">
        <f>IF(VLOOKUP(AM$2,'TIS Site Config'!$A$4:$AQ$51,3,FALSE)&lt;&gt;"Soft",
          IF(
                       AND(VLOOKUP(AM$2,'TIS Site Config'!$A$3:$AQ$51,18,FALSE)="Split",
                        VLOOKUP(AM$2,'TIS Site Config'!$A$3:$AQ$51,6,FALSE)="Extreme Heated"),
                              1,0),0)</f>
        <v>0</v>
      </c>
      <c r="AN71" s="222">
        <f>IF(VLOOKUP(AN$2,'TIS Site Config'!$A$4:$AQ$51,3,FALSE)&lt;&gt;"Soft",
          IF(
                       AND(VLOOKUP(AN$2,'TIS Site Config'!$A$3:$AQ$51,18,FALSE)="Split",
                        VLOOKUP(AN$2,'TIS Site Config'!$A$3:$AQ$51,6,FALSE)="Extreme Heated"),
                              1,0),0)</f>
        <v>0</v>
      </c>
      <c r="AO71" s="136">
        <f>IF(VLOOKUP(AO$2,'TIS Site Config'!$A$4:$AQ$51,3,FALSE)&lt;&gt;"Soft",
          IF(
                       AND(VLOOKUP(AO$2,'TIS Site Config'!$A$3:$AQ$51,18,FALSE)="Split",
                        VLOOKUP(AO$2,'TIS Site Config'!$A$3:$AQ$51,6,FALSE)="Extreme Heated"),
                              1,0),0)</f>
        <v>0</v>
      </c>
      <c r="AP71" s="21">
        <f>IF(VLOOKUP(AP$2,'TIS Site Config'!$A$4:$AQ$51,3,FALSE)&lt;&gt;"Soft",
          IF(
                       AND(VLOOKUP(AP$2,'TIS Site Config'!$A$3:$AQ$51,18,FALSE)="Split",
                        VLOOKUP(AP$2,'TIS Site Config'!$A$3:$AQ$51,6,FALSE)="Extreme Heated"),
                              1,0),0)</f>
        <v>0</v>
      </c>
      <c r="AQ71" s="136">
        <f>IF(VLOOKUP(AQ$2,'TIS Site Config'!$A$4:$AQ$51,3,FALSE)&lt;&gt;"Soft",
          IF(
                       AND(VLOOKUP(AQ$2,'TIS Site Config'!$A$3:$AQ$51,18,FALSE)="Split",
                        VLOOKUP(AQ$2,'TIS Site Config'!$A$3:$AQ$51,6,FALSE)="Extreme Heated"),
                              1,0),0)</f>
        <v>0</v>
      </c>
      <c r="AR71" s="136">
        <f>IF(VLOOKUP(AR$2,'TIS Site Config'!$A$4:$AQ$51,3,FALSE)&lt;&gt;"Soft",
          IF(
                       AND(VLOOKUP(AR$2,'TIS Site Config'!$A$3:$AQ$51,18,FALSE)="Split",
                        VLOOKUP(AR$2,'TIS Site Config'!$A$3:$AQ$51,6,FALSE)="Extreme Heated"),
                              1,0),0)</f>
        <v>1</v>
      </c>
      <c r="AS71" s="21">
        <f>IF(VLOOKUP(AS$2,'TIS Site Config'!$A$4:$AQ$51,3,FALSE)&lt;&gt;"Soft",
          IF(
                       AND(VLOOKUP(AS$2,'TIS Site Config'!$A$3:$AQ$51,18,FALSE)="Split",
                        VLOOKUP(AS$2,'TIS Site Config'!$A$3:$AQ$51,6,FALSE)="Extreme Heated"),
                              1,0),0)</f>
        <v>0</v>
      </c>
      <c r="AT71" s="136">
        <f>IF(VLOOKUP(AT$2,'TIS Site Config'!$A$4:$AQ$51,3,FALSE)&lt;&gt;"Soft",
          IF(
                       AND(VLOOKUP(AT$2,'TIS Site Config'!$A$3:$AQ$51,18,FALSE)="Split",
                        VLOOKUP(AT$2,'TIS Site Config'!$A$3:$AQ$51,6,FALSE)="Extreme Heated"),
                              1,0),0)</f>
        <v>0</v>
      </c>
      <c r="AU71" s="21">
        <f>IF(VLOOKUP(AU$2,'TIS Site Config'!$A$4:$AQ$51,3,FALSE)&lt;&gt;"Soft",
          IF(
                       AND(VLOOKUP(AU$2,'TIS Site Config'!$A$3:$AQ$51,18,FALSE)="Split",
                        VLOOKUP(AU$2,'TIS Site Config'!$A$3:$AQ$51,6,FALSE)="Extreme Heated"),
                              1,0),0)</f>
        <v>0</v>
      </c>
      <c r="AV71" s="136">
        <f>IF(VLOOKUP(AV$2,'TIS Site Config'!$A$4:$AQ$51,3,FALSE)&lt;&gt;"Soft",
          IF(
                       AND(VLOOKUP(AV$2,'TIS Site Config'!$A$3:$AQ$51,18,FALSE)="Split",
                        VLOOKUP(AV$2,'TIS Site Config'!$A$3:$AQ$51,6,FALSE)="Extreme Heated"),
                              1,0),0)</f>
        <v>0</v>
      </c>
      <c r="AW71" s="136">
        <f>IF(VLOOKUP(AW$2,'TIS Site Config'!$A$4:$AQ$51,3,FALSE)&lt;&gt;"Soft",
          IF(
                       AND(VLOOKUP(AW$2,'TIS Site Config'!$A$3:$AQ$51,18,FALSE)="Split",
                        VLOOKUP(AW$2,'TIS Site Config'!$A$3:$AQ$51,6,FALSE)="Extreme Heated"),
                              1,0),0)</f>
        <v>0</v>
      </c>
      <c r="AX71" s="222">
        <f>IF(VLOOKUP(AX$2,'TIS Site Config'!$A$4:$AQ$51,3,FALSE)&lt;&gt;"Soft",
          IF(
                       AND(VLOOKUP(AX$2,'TIS Site Config'!$A$3:$AQ$51,18,FALSE)="Split",
                        VLOOKUP(AX$2,'TIS Site Config'!$A$3:$AQ$51,6,FALSE)="Extreme Heated"),
                              1,0),0)</f>
        <v>0</v>
      </c>
      <c r="AY71" s="136">
        <f>IF(VLOOKUP(AY$2,'TIS Site Config'!$A$4:$AQ$51,3,FALSE)&lt;&gt;"Soft",
          IF(
                       AND(VLOOKUP(AY$2,'TIS Site Config'!$A$3:$AQ$51,18,FALSE)="Split",
                        VLOOKUP(AY$2,'TIS Site Config'!$A$3:$AQ$51,6,FALSE)="Extreme Heated"),
                              1,0),0)</f>
        <v>0</v>
      </c>
      <c r="AZ71" s="21">
        <f>IF(VLOOKUP(AZ$2,'TIS Site Config'!$A$4:$AQ$51,3,FALSE)&lt;&gt;"Soft",
          IF(
                       AND(VLOOKUP(AZ$2,'TIS Site Config'!$A$3:$AQ$51,18,FALSE)="Split",
                        VLOOKUP(AZ$2,'TIS Site Config'!$A$3:$AQ$51,6,FALSE)="Extreme Heated"),
                              1,0),0)</f>
        <v>0</v>
      </c>
      <c r="BA71" s="223">
        <f>IF(VLOOKUP(BA$2,'TIS Site Config'!$A$4:$AQ$51,3,FALSE)&lt;&gt;"Soft",
          IF(
                       AND(VLOOKUP(BA$2,'TIS Site Config'!$A$3:$AQ$51,18,FALSE)="Split",
                        VLOOKUP(BA$2,'TIS Site Config'!$A$3:$AQ$51,6,FALSE)="Extreme Heated"),
                              1,0),0)</f>
        <v>0</v>
      </c>
      <c r="BB71" s="136">
        <f>IF(VLOOKUP(BB$2,'TIS Site Config'!$A$4:$AQ$51,3,FALSE)&lt;&gt;"Soft",
          IF(
                       AND(VLOOKUP(BB$2,'TIS Site Config'!$A$3:$AQ$51,18,FALSE)="Split",
                        VLOOKUP(BB$2,'TIS Site Config'!$A$3:$AQ$51,6,FALSE)="Extreme Heated"),
                              1,0),0)</f>
        <v>1</v>
      </c>
      <c r="BC71" s="222">
        <f>IF(VLOOKUP(BC$2,'TIS Site Config'!$A$4:$AQ$51,3,FALSE)&lt;&gt;"Soft",
          IF(
                       AND(VLOOKUP(BC$2,'TIS Site Config'!$A$3:$AQ$51,18,FALSE)="Split",
                        VLOOKUP(BC$2,'TIS Site Config'!$A$3:$AQ$51,6,FALSE)="Extreme Heated"),
                              1,0),0)</f>
        <v>0</v>
      </c>
      <c r="BD71" s="136">
        <f>IF(VLOOKUP(BD$2,'TIS Site Config'!$A$4:$AQ$51,3,FALSE)&lt;&gt;"Soft",
          IF(
                       AND(VLOOKUP(BD$2,'TIS Site Config'!$A$3:$AQ$51,18,FALSE)="Split",
                        VLOOKUP(BD$2,'TIS Site Config'!$A$3:$AQ$51,6,FALSE)="Extreme Heated"),
                              1,0),0)</f>
        <v>0</v>
      </c>
      <c r="BE71" s="21">
        <f>IF(VLOOKUP(BE$2,'TIS Site Config'!$A$4:$AQ$51,3,FALSE)&lt;&gt;"Soft",
          IF(
                       AND(VLOOKUP(BE$2,'TIS Site Config'!$A$3:$AQ$51,18,FALSE)="Split",
                        VLOOKUP(BE$2,'TIS Site Config'!$A$3:$AQ$51,6,FALSE)="Extreme Heated"),
                              1,0),0)</f>
        <v>0</v>
      </c>
      <c r="BF71" s="222">
        <f>IF(VLOOKUP(BF$2,'TIS Site Config'!$A$4:$AQ$51,3,FALSE)&lt;&gt;"Soft",
          IF(
                       AND(VLOOKUP(BF$2,'TIS Site Config'!$A$3:$AQ$51,18,FALSE)="Split",
                        VLOOKUP(BF$2,'TIS Site Config'!$A$3:$AQ$51,6,FALSE)="Extreme Heated"),
                              1,0),0)</f>
        <v>0</v>
      </c>
      <c r="BG71" s="62">
        <f>IF(VLOOKUP(BG$2,'TIS Site Config'!$A$4:$AQ$51,3,FALSE)&lt;&gt;"Soft",
          IF(
                       AND(VLOOKUP(BG$2,'TIS Site Config'!$A$3:$AQ$51,18,FALSE)="Split",
                        VLOOKUP(BG$2,'TIS Site Config'!$A$3:$AQ$51,6,FALSE)="Extreme Heated"),
                              1,0),0)</f>
        <v>0</v>
      </c>
      <c r="BH71" s="62">
        <f>IF(VLOOKUP(BH$2,'TIS Site Config'!$A$4:$AQ$51,3,FALSE)&lt;&gt;"Soft",
          IF(
                       AND(VLOOKUP(BH$2,'TIS Site Config'!$A$3:$AQ$51,18,FALSE)="Split",
                        VLOOKUP(BH$2,'TIS Site Config'!$A$3:$AQ$51,6,FALSE)="Extreme Heated"),
                              1,0),0)</f>
        <v>0</v>
      </c>
      <c r="BK71" s="44">
        <v>2</v>
      </c>
      <c r="BL71" s="950" t="b">
        <f t="shared" si="4"/>
        <v>1</v>
      </c>
      <c r="BO71" s="950"/>
    </row>
    <row r="72" spans="1:67" s="44" customFormat="1" ht="15.75" thickBot="1" x14ac:dyDescent="0.3">
      <c r="A72" s="1366"/>
      <c r="B72" s="1334"/>
      <c r="C72" s="67" t="s">
        <v>488</v>
      </c>
      <c r="D72" s="92">
        <v>4</v>
      </c>
      <c r="E72" s="116" t="s">
        <v>487</v>
      </c>
      <c r="F72" s="68">
        <f t="shared" si="5"/>
        <v>4</v>
      </c>
      <c r="G72" s="444"/>
      <c r="H72" s="445"/>
      <c r="I72" s="445"/>
      <c r="J72" s="445"/>
      <c r="K72" s="446"/>
      <c r="L72" s="489"/>
      <c r="M72" s="142">
        <f>IF(VLOOKUP(M$2,'TIS Site Config'!$A$4:$AQ$51,3,FALSE)&lt;&gt;"Soft",
          IF(
                       AND(VLOOKUP(M$2,'TIS Site Config'!$A$3:$AQ$51,18,FALSE)="Combined",
                        VLOOKUP(M$2,'TIS Site Config'!$A$3:$AQ$51,6,FALSE)="Extreme Heated"),
                              1,0),0)</f>
        <v>0</v>
      </c>
      <c r="N72" s="258">
        <f>IF(VLOOKUP(N$2,'TIS Site Config'!$A$4:$AQ$51,3,FALSE)&lt;&gt;"Soft",
          IF(
                       AND(VLOOKUP(N$2,'TIS Site Config'!$A$3:$AQ$51,18,FALSE)="Combined",
                        VLOOKUP(N$2,'TIS Site Config'!$A$3:$AQ$51,6,FALSE)="Extreme Heated"),
                              1,0),0)</f>
        <v>0</v>
      </c>
      <c r="O72" s="261">
        <f>IF(VLOOKUP(O$2,'TIS Site Config'!$A$4:$AQ$51,3,FALSE)&lt;&gt;"Soft",
          IF(
                       AND(VLOOKUP(O$2,'TIS Site Config'!$A$3:$AQ$51,18,FALSE)="Combined",
                        VLOOKUP(O$2,'TIS Site Config'!$A$3:$AQ$51,6,FALSE)="Extreme Heated"),
                              1,0),0)</f>
        <v>0</v>
      </c>
      <c r="P72" s="257">
        <f>IF(VLOOKUP(P$2,'TIS Site Config'!$A$4:$AQ$51,3,FALSE)&lt;&gt;"Soft",
          IF(
                       AND(VLOOKUP(P$2,'TIS Site Config'!$A$3:$AQ$51,18,FALSE)="Combined",
                        VLOOKUP(P$2,'TIS Site Config'!$A$3:$AQ$51,6,FALSE)="Extreme Heated"),
                              1,0),0)</f>
        <v>0</v>
      </c>
      <c r="Q72" s="258">
        <f>IF(VLOOKUP(Q$2,'TIS Site Config'!$A$4:$AQ$51,3,FALSE)&lt;&gt;"Soft",
          IF(
                       AND(VLOOKUP(Q$2,'TIS Site Config'!$A$3:$AQ$51,18,FALSE)="Combined",
                        VLOOKUP(Q$2,'TIS Site Config'!$A$3:$AQ$51,6,FALSE)="Extreme Heated"),
                              1,0),0)</f>
        <v>0</v>
      </c>
      <c r="R72" s="142">
        <f>IF(VLOOKUP(R$2,'TIS Site Config'!$A$4:$AQ$51,3,FALSE)&lt;&gt;"Soft",
          IF(
                       AND(VLOOKUP(R$2,'TIS Site Config'!$A$3:$AQ$51,18,FALSE)="Combined",
                        VLOOKUP(R$2,'TIS Site Config'!$A$3:$AQ$51,6,FALSE)="Extreme Heated"),
                              1,0),0)</f>
        <v>0</v>
      </c>
      <c r="S72" s="257">
        <f>IF(VLOOKUP(S$2,'TIS Site Config'!$A$4:$AQ$51,3,FALSE)&lt;&gt;"Soft",
          IF(
                       AND(VLOOKUP(S$2,'TIS Site Config'!$A$3:$AQ$51,18,FALSE)="Combined",
                        VLOOKUP(S$2,'TIS Site Config'!$A$3:$AQ$51,6,FALSE)="Extreme Heated"),
                              1,0),0)</f>
        <v>0</v>
      </c>
      <c r="T72" s="258">
        <f>IF(VLOOKUP(T$2,'TIS Site Config'!$A$4:$AQ$51,3,FALSE)&lt;&gt;"Soft",
          IF(
                       AND(VLOOKUP(T$2,'TIS Site Config'!$A$3:$AQ$51,18,FALSE)="Combined",
                        VLOOKUP(T$2,'TIS Site Config'!$A$3:$AQ$51,6,FALSE)="Extreme Heated"),
                              1,0),0)</f>
        <v>0</v>
      </c>
      <c r="U72" s="142">
        <f>IF(VLOOKUP(U$2,'TIS Site Config'!$A$4:$AQ$51,3,FALSE)&lt;&gt;"Soft",
          IF(
                       AND(VLOOKUP(U$2,'TIS Site Config'!$A$3:$AQ$51,18,FALSE)="Combined",
                        VLOOKUP(U$2,'TIS Site Config'!$A$3:$AQ$51,6,FALSE)="Extreme Heated"),
                              1,0),0)</f>
        <v>0</v>
      </c>
      <c r="V72" s="258">
        <f>IF(VLOOKUP(V$2,'TIS Site Config'!$A$4:$AQ$51,3,FALSE)&lt;&gt;"Soft",
          IF(
                       AND(VLOOKUP(V$2,'TIS Site Config'!$A$3:$AQ$51,18,FALSE)="Combined",
                        VLOOKUP(V$2,'TIS Site Config'!$A$3:$AQ$51,6,FALSE)="Extreme Heated"),
                              1,0),0)</f>
        <v>0</v>
      </c>
      <c r="W72" s="260">
        <f>IF(VLOOKUP(W$2,'TIS Site Config'!$A$4:$AQ$51,3,FALSE)&lt;&gt;"Soft",
          IF(
                       AND(VLOOKUP(W$2,'TIS Site Config'!$A$3:$AQ$51,18,FALSE)="Combined",
                        VLOOKUP(W$2,'TIS Site Config'!$A$3:$AQ$51,6,FALSE)="Extreme Heated"),
                              1,0),0)</f>
        <v>0</v>
      </c>
      <c r="X72" s="257">
        <f>IF(VLOOKUP(X$2,'TIS Site Config'!$A$4:$AQ$51,3,FALSE)&lt;&gt;"Soft",
          IF(
                       AND(VLOOKUP(X$2,'TIS Site Config'!$A$3:$AQ$51,18,FALSE)="Combined",
                        VLOOKUP(X$2,'TIS Site Config'!$A$3:$AQ$51,6,FALSE)="Extreme Heated"),
                              1,0),0)</f>
        <v>0</v>
      </c>
      <c r="Y72" s="258">
        <f>IF(VLOOKUP(Y$2,'TIS Site Config'!$A$4:$AQ$51,3,FALSE)&lt;&gt;"Soft",
          IF(
                       AND(VLOOKUP(Y$2,'TIS Site Config'!$A$3:$AQ$51,18,FALSE)="Combined",
                        VLOOKUP(Y$2,'TIS Site Config'!$A$3:$AQ$51,6,FALSE)="Extreme Heated"),
                              1,0),0)</f>
        <v>0</v>
      </c>
      <c r="Z72" s="142">
        <f>IF(VLOOKUP(Z$2,'TIS Site Config'!$A$4:$AQ$51,3,FALSE)&lt;&gt;"Soft",
          IF(
                       AND(VLOOKUP(Z$2,'TIS Site Config'!$A$3:$AQ$51,18,FALSE)="Combined",
                        VLOOKUP(Z$2,'TIS Site Config'!$A$3:$AQ$51,6,FALSE)="Extreme Heated"),
                              1,0),0)</f>
        <v>0</v>
      </c>
      <c r="AA72" s="257">
        <f>IF(VLOOKUP(AA$2,'TIS Site Config'!$A$4:$AQ$51,3,FALSE)&lt;&gt;"Soft",
          IF(
                       AND(VLOOKUP(AA$2,'TIS Site Config'!$A$3:$AQ$51,18,FALSE)="Combined",
                        VLOOKUP(AA$2,'TIS Site Config'!$A$3:$AQ$51,6,FALSE)="Extreme Heated"),
                              1,0),0)</f>
        <v>0</v>
      </c>
      <c r="AB72" s="258">
        <f>IF(VLOOKUP(AB$2,'TIS Site Config'!$A$4:$AQ$51,3,FALSE)&lt;&gt;"Soft",
          IF(
                       AND(VLOOKUP(AB$2,'TIS Site Config'!$A$3:$AQ$51,18,FALSE)="Combined",
                        VLOOKUP(AB$2,'TIS Site Config'!$A$3:$AQ$51,6,FALSE)="Extreme Heated"),
                              1,0),0)</f>
        <v>0</v>
      </c>
      <c r="AC72" s="257">
        <f>IF(VLOOKUP(AC$2,'TIS Site Config'!$A$4:$AQ$51,3,FALSE)&lt;&gt;"Soft",
          IF(
                       AND(VLOOKUP(AC$2,'TIS Site Config'!$A$3:$AQ$51,18,FALSE)="Combined",
                        VLOOKUP(AC$2,'TIS Site Config'!$A$3:$AQ$51,6,FALSE)="Extreme Heated"),
                              1,0),0)</f>
        <v>0</v>
      </c>
      <c r="AD72" s="259">
        <f>IF(VLOOKUP(AD$2,'TIS Site Config'!$A$4:$AQ$51,3,FALSE)&lt;&gt;"Soft",
          IF(
                       AND(VLOOKUP(AD$2,'TIS Site Config'!$A$3:$AQ$51,18,FALSE)="Combined",
                        VLOOKUP(AD$2,'TIS Site Config'!$A$3:$AQ$51,6,FALSE)="Extreme Heated"),
                              1,0),0)</f>
        <v>0</v>
      </c>
      <c r="AE72" s="259">
        <f>IF(VLOOKUP(AE$2,'TIS Site Config'!$A$4:$AQ$51,3,FALSE)&lt;&gt;"Soft",
          IF(
                       AND(VLOOKUP(AE$2,'TIS Site Config'!$A$3:$AQ$51,18,FALSE)="Combined",
                        VLOOKUP(AE$2,'TIS Site Config'!$A$3:$AQ$51,6,FALSE)="Extreme Heated"),
                              1,0),0)</f>
        <v>0</v>
      </c>
      <c r="AF72" s="1001">
        <f>IF(VLOOKUP(AF$2,'TIS Site Config'!$A$4:$AQ$51,3,FALSE)&lt;&gt;"Soft",
          IF(
                       AND(VLOOKUP(AF$2,'TIS Site Config'!$A$3:$AQ$51,18,FALSE)="Combined",
                        VLOOKUP(AF$2,'TIS Site Config'!$A$3:$AQ$51,6,FALSE)="Extreme Heated"),
                              1,0),0)</f>
        <v>0</v>
      </c>
      <c r="AG72" s="257">
        <f>IF(VLOOKUP(AG$2,'TIS Site Config'!$A$4:$AQ$51,3,FALSE)&lt;&gt;"Soft",
          IF(
                       AND(VLOOKUP(AG$2,'TIS Site Config'!$A$3:$AQ$51,18,FALSE)="Combined",
                        VLOOKUP(AG$2,'TIS Site Config'!$A$3:$AQ$51,6,FALSE)="Extreme Heated"),
                              1,0),0)</f>
        <v>0</v>
      </c>
      <c r="AH72" s="258">
        <f>IF(VLOOKUP(AH$2,'TIS Site Config'!$A$4:$AQ$51,3,FALSE)&lt;&gt;"Soft",
          IF(
                       AND(VLOOKUP(AH$2,'TIS Site Config'!$A$3:$AQ$51,18,FALSE)="Combined",
                        VLOOKUP(AH$2,'TIS Site Config'!$A$3:$AQ$51,6,FALSE)="Extreme Heated"),
                              1,0),0)</f>
        <v>0</v>
      </c>
      <c r="AI72" s="142">
        <f>IF(VLOOKUP(AI$2,'TIS Site Config'!$A$4:$AQ$51,3,FALSE)&lt;&gt;"Soft",
          IF(
                       AND(VLOOKUP(AI$2,'TIS Site Config'!$A$3:$AQ$51,18,FALSE)="Combined",
                        VLOOKUP(AI$2,'TIS Site Config'!$A$3:$AQ$51,6,FALSE)="Extreme Heated"),
                              1,0),0)</f>
        <v>0</v>
      </c>
      <c r="AJ72" s="257">
        <f>IF(VLOOKUP(AJ$2,'TIS Site Config'!$A$4:$AQ$51,3,FALSE)&lt;&gt;"Soft",
          IF(
                       AND(VLOOKUP(AJ$2,'TIS Site Config'!$A$3:$AQ$51,18,FALSE)="Combined",
                        VLOOKUP(AJ$2,'TIS Site Config'!$A$3:$AQ$51,6,FALSE)="Extreme Heated"),
                              1,0),0)</f>
        <v>0</v>
      </c>
      <c r="AK72" s="258">
        <f>IF(VLOOKUP(AK$2,'TIS Site Config'!$A$4:$AQ$51,3,FALSE)&lt;&gt;"Soft",
          IF(
                       AND(VLOOKUP(AK$2,'TIS Site Config'!$A$3:$AQ$51,18,FALSE)="Combined",
                        VLOOKUP(AK$2,'TIS Site Config'!$A$3:$AQ$51,6,FALSE)="Extreme Heated"),
                              1,0),0)</f>
        <v>0</v>
      </c>
      <c r="AL72" s="142">
        <f>IF(VLOOKUP(AL$2,'TIS Site Config'!$A$4:$AQ$51,3,FALSE)&lt;&gt;"Soft",
          IF(
                       AND(VLOOKUP(AL$2,'TIS Site Config'!$A$3:$AQ$51,18,FALSE)="Combined",
                        VLOOKUP(AL$2,'TIS Site Config'!$A$3:$AQ$51,6,FALSE)="Extreme Heated"),
                              1,0),0)</f>
        <v>0</v>
      </c>
      <c r="AM72" s="257">
        <f>IF(VLOOKUP(AM$2,'TIS Site Config'!$A$4:$AQ$51,3,FALSE)&lt;&gt;"Soft",
          IF(
                       AND(VLOOKUP(AM$2,'TIS Site Config'!$A$3:$AQ$51,18,FALSE)="Combined",
                        VLOOKUP(AM$2,'TIS Site Config'!$A$3:$AQ$51,6,FALSE)="Extreme Heated"),
                              1,0),0)</f>
        <v>0</v>
      </c>
      <c r="AN72" s="258">
        <f>IF(VLOOKUP(AN$2,'TIS Site Config'!$A$4:$AQ$51,3,FALSE)&lt;&gt;"Soft",
          IF(
                       AND(VLOOKUP(AN$2,'TIS Site Config'!$A$3:$AQ$51,18,FALSE)="Combined",
                        VLOOKUP(AN$2,'TIS Site Config'!$A$3:$AQ$51,6,FALSE)="Extreme Heated"),
                              1,0),0)</f>
        <v>0</v>
      </c>
      <c r="AO72" s="142">
        <f>IF(VLOOKUP(AO$2,'TIS Site Config'!$A$4:$AQ$51,3,FALSE)&lt;&gt;"Soft",
          IF(
                       AND(VLOOKUP(AO$2,'TIS Site Config'!$A$3:$AQ$51,18,FALSE)="Combined",
                        VLOOKUP(AO$2,'TIS Site Config'!$A$3:$AQ$51,6,FALSE)="Extreme Heated"),
                              1,0),0)</f>
        <v>0</v>
      </c>
      <c r="AP72" s="257">
        <f>IF(VLOOKUP(AP$2,'TIS Site Config'!$A$4:$AQ$51,3,FALSE)&lt;&gt;"Soft",
          IF(
                       AND(VLOOKUP(AP$2,'TIS Site Config'!$A$3:$AQ$51,18,FALSE)="Combined",
                        VLOOKUP(AP$2,'TIS Site Config'!$A$3:$AQ$51,6,FALSE)="Extreme Heated"),
                              1,0),0)</f>
        <v>0</v>
      </c>
      <c r="AQ72" s="142">
        <f>IF(VLOOKUP(AQ$2,'TIS Site Config'!$A$4:$AQ$51,3,FALSE)&lt;&gt;"Soft",
          IF(
                       AND(VLOOKUP(AQ$2,'TIS Site Config'!$A$3:$AQ$51,18,FALSE)="Combined",
                        VLOOKUP(AQ$2,'TIS Site Config'!$A$3:$AQ$51,6,FALSE)="Extreme Heated"),
                              1,0),0)</f>
        <v>0</v>
      </c>
      <c r="AR72" s="142">
        <f>IF(VLOOKUP(AR$2,'TIS Site Config'!$A$4:$AQ$51,3,FALSE)&lt;&gt;"Soft",
          IF(
                       AND(VLOOKUP(AR$2,'TIS Site Config'!$A$3:$AQ$51,18,FALSE)="Combined",
                        VLOOKUP(AR$2,'TIS Site Config'!$A$3:$AQ$51,6,FALSE)="Extreme Heated"),
                              1,0),0)</f>
        <v>0</v>
      </c>
      <c r="AS72" s="257">
        <f>IF(VLOOKUP(AS$2,'TIS Site Config'!$A$4:$AQ$51,3,FALSE)&lt;&gt;"Soft",
          IF(
                       AND(VLOOKUP(AS$2,'TIS Site Config'!$A$3:$AQ$51,18,FALSE)="Combined",
                        VLOOKUP(AS$2,'TIS Site Config'!$A$3:$AQ$51,6,FALSE)="Extreme Heated"),
                              1,0),0)</f>
        <v>0</v>
      </c>
      <c r="AT72" s="142">
        <f>IF(VLOOKUP(AT$2,'TIS Site Config'!$A$4:$AQ$51,3,FALSE)&lt;&gt;"Soft",
          IF(
                       AND(VLOOKUP(AT$2,'TIS Site Config'!$A$3:$AQ$51,18,FALSE)="Combined",
                        VLOOKUP(AT$2,'TIS Site Config'!$A$3:$AQ$51,6,FALSE)="Extreme Heated"),
                              1,0),0)</f>
        <v>0</v>
      </c>
      <c r="AU72" s="257">
        <f>IF(VLOOKUP(AU$2,'TIS Site Config'!$A$4:$AQ$51,3,FALSE)&lt;&gt;"Soft",
          IF(
                       AND(VLOOKUP(AU$2,'TIS Site Config'!$A$3:$AQ$51,18,FALSE)="Combined",
                        VLOOKUP(AU$2,'TIS Site Config'!$A$3:$AQ$51,6,FALSE)="Extreme Heated"),
                              1,0),0)</f>
        <v>0</v>
      </c>
      <c r="AV72" s="142">
        <f>IF(VLOOKUP(AV$2,'TIS Site Config'!$A$4:$AQ$51,3,FALSE)&lt;&gt;"Soft",
          IF(
                       AND(VLOOKUP(AV$2,'TIS Site Config'!$A$3:$AQ$51,18,FALSE)="Combined",
                        VLOOKUP(AV$2,'TIS Site Config'!$A$3:$AQ$51,6,FALSE)="Extreme Heated"),
                              1,0),0)</f>
        <v>0</v>
      </c>
      <c r="AW72" s="142">
        <f>IF(VLOOKUP(AW$2,'TIS Site Config'!$A$4:$AQ$51,3,FALSE)&lt;&gt;"Soft",
          IF(
                       AND(VLOOKUP(AW$2,'TIS Site Config'!$A$3:$AQ$51,18,FALSE)="Combined",
                        VLOOKUP(AW$2,'TIS Site Config'!$A$3:$AQ$51,6,FALSE)="Extreme Heated"),
                              1,0),0)</f>
        <v>0</v>
      </c>
      <c r="AX72" s="258">
        <f>IF(VLOOKUP(AX$2,'TIS Site Config'!$A$4:$AQ$51,3,FALSE)&lt;&gt;"Soft",
          IF(
                       AND(VLOOKUP(AX$2,'TIS Site Config'!$A$3:$AQ$51,18,FALSE)="Combined",
                        VLOOKUP(AX$2,'TIS Site Config'!$A$3:$AQ$51,6,FALSE)="Extreme Heated"),
                              1,0),0)</f>
        <v>0</v>
      </c>
      <c r="AY72" s="142">
        <f>IF(VLOOKUP(AY$2,'TIS Site Config'!$A$4:$AQ$51,3,FALSE)&lt;&gt;"Soft",
          IF(
                       AND(VLOOKUP(AY$2,'TIS Site Config'!$A$3:$AQ$51,18,FALSE)="Combined",
                        VLOOKUP(AY$2,'TIS Site Config'!$A$3:$AQ$51,6,FALSE)="Extreme Heated"),
                              1,0),0)</f>
        <v>0</v>
      </c>
      <c r="AZ72" s="257">
        <f>IF(VLOOKUP(AZ$2,'TIS Site Config'!$A$4:$AQ$51,3,FALSE)&lt;&gt;"Soft",
          IF(
                       AND(VLOOKUP(AZ$2,'TIS Site Config'!$A$3:$AQ$51,18,FALSE)="Combined",
                        VLOOKUP(AZ$2,'TIS Site Config'!$A$3:$AQ$51,6,FALSE)="Extreme Heated"),
                              1,0),0)</f>
        <v>0</v>
      </c>
      <c r="BA72" s="259">
        <f>IF(VLOOKUP(BA$2,'TIS Site Config'!$A$4:$AQ$51,3,FALSE)&lt;&gt;"Soft",
          IF(
                       AND(VLOOKUP(BA$2,'TIS Site Config'!$A$3:$AQ$51,18,FALSE)="Combined",
                        VLOOKUP(BA$2,'TIS Site Config'!$A$3:$AQ$51,6,FALSE)="Extreme Heated"),
                              1,0),0)</f>
        <v>0</v>
      </c>
      <c r="BB72" s="142">
        <f>IF(VLOOKUP(BB$2,'TIS Site Config'!$A$4:$AQ$51,3,FALSE)&lt;&gt;"Soft",
          IF(
                       AND(VLOOKUP(BB$2,'TIS Site Config'!$A$3:$AQ$51,18,FALSE)="Combined",
                        VLOOKUP(BB$2,'TIS Site Config'!$A$3:$AQ$51,6,FALSE)="Extreme Heated"),
                              1,0),0)</f>
        <v>0</v>
      </c>
      <c r="BC72" s="258">
        <f>IF(VLOOKUP(BC$2,'TIS Site Config'!$A$4:$AQ$51,3,FALSE)&lt;&gt;"Soft",
          IF(
                       AND(VLOOKUP(BC$2,'TIS Site Config'!$A$3:$AQ$51,18,FALSE)="Combined",
                        VLOOKUP(BC$2,'TIS Site Config'!$A$3:$AQ$51,6,FALSE)="Extreme Heated"),
                              1,0),0)</f>
        <v>1</v>
      </c>
      <c r="BD72" s="142">
        <f>IF(VLOOKUP(BD$2,'TIS Site Config'!$A$4:$AQ$51,3,FALSE)&lt;&gt;"Soft",
          IF(
                       AND(VLOOKUP(BD$2,'TIS Site Config'!$A$3:$AQ$51,18,FALSE)="Combined",
                        VLOOKUP(BD$2,'TIS Site Config'!$A$3:$AQ$51,6,FALSE)="Extreme Heated"),
                              1,0),0)</f>
        <v>1</v>
      </c>
      <c r="BE72" s="257">
        <f>IF(VLOOKUP(BE$2,'TIS Site Config'!$A$4:$AQ$51,3,FALSE)&lt;&gt;"Soft",
          IF(
                       AND(VLOOKUP(BE$2,'TIS Site Config'!$A$3:$AQ$51,18,FALSE)="Combined",
                        VLOOKUP(BE$2,'TIS Site Config'!$A$3:$AQ$51,6,FALSE)="Extreme Heated"),
                              1,0),0)</f>
        <v>1</v>
      </c>
      <c r="BF72" s="258">
        <f>IF(VLOOKUP(BF$2,'TIS Site Config'!$A$4:$AQ$51,3,FALSE)&lt;&gt;"Soft",
          IF(
                       AND(VLOOKUP(BF$2,'TIS Site Config'!$A$3:$AQ$51,18,FALSE)="Combined",
                        VLOOKUP(BF$2,'TIS Site Config'!$A$3:$AQ$51,6,FALSE)="Extreme Heated"),
                              1,0),0)</f>
        <v>1</v>
      </c>
      <c r="BG72" s="68">
        <f>IF(VLOOKUP(BG$2,'TIS Site Config'!$A$4:$AQ$51,3,FALSE)&lt;&gt;"Soft",
          IF(
                       AND(VLOOKUP(BG$2,'TIS Site Config'!$A$3:$AQ$51,18,FALSE)="Combined",
                        VLOOKUP(BG$2,'TIS Site Config'!$A$3:$AQ$51,6,FALSE)="Extreme Heated"),
                              1,0),0)</f>
        <v>0</v>
      </c>
      <c r="BH72" s="68">
        <f>IF(VLOOKUP(BH$2,'TIS Site Config'!$A$4:$AQ$51,3,FALSE)&lt;&gt;"Soft",
          IF(
                       AND(VLOOKUP(BH$2,'TIS Site Config'!$A$3:$AQ$51,18,FALSE)="Combined",
                        VLOOKUP(BH$2,'TIS Site Config'!$A$3:$AQ$51,6,FALSE)="Extreme Heated"),
                              1,0),0)</f>
        <v>0</v>
      </c>
      <c r="BK72" s="44">
        <v>5</v>
      </c>
      <c r="BL72" s="950" t="b">
        <f t="shared" si="4"/>
        <v>0</v>
      </c>
      <c r="BO72" s="950"/>
    </row>
    <row r="73" spans="1:67" ht="15.75" thickTop="1" x14ac:dyDescent="0.25">
      <c r="A73" s="1366"/>
      <c r="B73" s="1342" t="s">
        <v>31</v>
      </c>
      <c r="C73" s="57" t="s">
        <v>160</v>
      </c>
      <c r="D73" s="90">
        <v>1</v>
      </c>
      <c r="E73" s="84" t="s">
        <v>277</v>
      </c>
      <c r="F73" s="60">
        <f t="shared" si="5"/>
        <v>0</v>
      </c>
      <c r="G73" s="459"/>
      <c r="H73" s="460"/>
      <c r="I73" s="460">
        <v>1</v>
      </c>
      <c r="J73" s="460"/>
      <c r="K73" s="461"/>
      <c r="L73" s="494"/>
      <c r="M73" s="134">
        <f>IF(VLOOKUP(M$2,'TIS Site Config'!$A$4:$AQ$51,3,FALSE)&lt;&gt;"Soft",
          IF(
             AND(VLOOKUP(M$2,'TIS Site Config'!$A$3:$AQ$51,22,FALSE)="Split",
                        VLOOKUP(M$2,'TIS Site Config'!$A$3:$AQ$51,6,FALSE)="Non-heated"),
                             1,0),0)</f>
        <v>0</v>
      </c>
      <c r="N73" s="212">
        <f>IF(VLOOKUP(N$2,'TIS Site Config'!$A$4:$AQ$51,3,FALSE)&lt;&gt;"Soft",
          IF(
             AND(VLOOKUP(N$2,'TIS Site Config'!$A$3:$AQ$51,22,FALSE)="Split",
                        VLOOKUP(N$2,'TIS Site Config'!$A$3:$AQ$51,6,FALSE)="Non-heated"),
                             1,0),0)</f>
        <v>0</v>
      </c>
      <c r="O73" s="215">
        <f>IF(VLOOKUP(O$2,'TIS Site Config'!$A$4:$AQ$51,3,FALSE)&lt;&gt;"Soft",
          IF(
             AND(VLOOKUP(O$2,'TIS Site Config'!$A$3:$AQ$51,22,FALSE)="Split",
                        VLOOKUP(O$2,'TIS Site Config'!$A$3:$AQ$51,6,FALSE)="Non-heated"),
                             1,0),0)</f>
        <v>0</v>
      </c>
      <c r="P73" s="309">
        <f>IF(VLOOKUP(P$2,'TIS Site Config'!$A$4:$AQ$51,3,FALSE)&lt;&gt;"Soft",
          IF(
             AND(VLOOKUP(P$2,'TIS Site Config'!$A$3:$AQ$51,22,FALSE)="Split",
                        VLOOKUP(P$2,'TIS Site Config'!$A$3:$AQ$51,6,FALSE)="Non-heated"),
                             1,0),0)</f>
        <v>0</v>
      </c>
      <c r="Q73" s="212">
        <f>IF(VLOOKUP(Q$2,'TIS Site Config'!$A$4:$AQ$51,3,FALSE)&lt;&gt;"Soft",
          IF(
             AND(VLOOKUP(Q$2,'TIS Site Config'!$A$3:$AQ$51,22,FALSE)="Split",
                        VLOOKUP(Q$2,'TIS Site Config'!$A$3:$AQ$51,6,FALSE)="Non-heated"),
                             1,0),0)</f>
        <v>0</v>
      </c>
      <c r="R73" s="134">
        <f>IF(VLOOKUP(R$2,'TIS Site Config'!$A$4:$AQ$51,3,FALSE)&lt;&gt;"Soft",
          IF(
             AND(VLOOKUP(R$2,'TIS Site Config'!$A$3:$AQ$51,22,FALSE)="Split",
                        VLOOKUP(R$2,'TIS Site Config'!$A$3:$AQ$51,6,FALSE)="Non-heated"),
                             1,0),0)</f>
        <v>0</v>
      </c>
      <c r="S73" s="309">
        <f>IF(VLOOKUP(S$2,'TIS Site Config'!$A$4:$AQ$51,3,FALSE)&lt;&gt;"Soft",
          IF(
             AND(VLOOKUP(S$2,'TIS Site Config'!$A$3:$AQ$51,22,FALSE)="Split",
                        VLOOKUP(S$2,'TIS Site Config'!$A$3:$AQ$51,6,FALSE)="Non-heated"),
                             1,0),0)</f>
        <v>0</v>
      </c>
      <c r="T73" s="212">
        <f>IF(VLOOKUP(T$2,'TIS Site Config'!$A$4:$AQ$51,3,FALSE)&lt;&gt;"Soft",
          IF(
             AND(VLOOKUP(T$2,'TIS Site Config'!$A$3:$AQ$51,22,FALSE)="Split",
                        VLOOKUP(T$2,'TIS Site Config'!$A$3:$AQ$51,6,FALSE)="Non-heated"),
                             1,0),0)</f>
        <v>0</v>
      </c>
      <c r="U73" s="134">
        <f>IF(VLOOKUP(U$2,'TIS Site Config'!$A$4:$AQ$51,3,FALSE)&lt;&gt;"Soft",
          IF(
             AND(VLOOKUP(U$2,'TIS Site Config'!$A$3:$AQ$51,22,FALSE)="Split",
                        VLOOKUP(U$2,'TIS Site Config'!$A$3:$AQ$51,6,FALSE)="Non-heated"),
                             1,0),0)</f>
        <v>0</v>
      </c>
      <c r="V73" s="212">
        <f>IF(VLOOKUP(V$2,'TIS Site Config'!$A$4:$AQ$51,3,FALSE)&lt;&gt;"Soft",
          IF(
             AND(VLOOKUP(V$2,'TIS Site Config'!$A$3:$AQ$51,22,FALSE)="Split",
                        VLOOKUP(V$2,'TIS Site Config'!$A$3:$AQ$51,6,FALSE)="Non-heated"),
                             1,0),0)</f>
        <v>0</v>
      </c>
      <c r="W73" s="214">
        <f>IF(VLOOKUP(W$2,'TIS Site Config'!$A$4:$AQ$51,3,FALSE)&lt;&gt;"Soft",
          IF(
             AND(VLOOKUP(W$2,'TIS Site Config'!$A$3:$AQ$51,22,FALSE)="Split",
                        VLOOKUP(W$2,'TIS Site Config'!$A$3:$AQ$51,6,FALSE)="Non-heated"),
                             1,0),0)</f>
        <v>0</v>
      </c>
      <c r="X73" s="309">
        <f>IF(VLOOKUP(X$2,'TIS Site Config'!$A$4:$AQ$51,3,FALSE)&lt;&gt;"Soft",
          IF(
             AND(VLOOKUP(X$2,'TIS Site Config'!$A$3:$AQ$51,22,FALSE)="Split",
                        VLOOKUP(X$2,'TIS Site Config'!$A$3:$AQ$51,6,FALSE)="Non-heated"),
                             1,0),0)</f>
        <v>0</v>
      </c>
      <c r="Y73" s="212">
        <f>IF(VLOOKUP(Y$2,'TIS Site Config'!$A$4:$AQ$51,3,FALSE)&lt;&gt;"Soft",
          IF(
             AND(VLOOKUP(Y$2,'TIS Site Config'!$A$3:$AQ$51,22,FALSE)="Split",
                        VLOOKUP(Y$2,'TIS Site Config'!$A$3:$AQ$51,6,FALSE)="Non-heated"),
                             1,0),0)</f>
        <v>0</v>
      </c>
      <c r="Z73" s="134">
        <f>IF(VLOOKUP(Z$2,'TIS Site Config'!$A$4:$AQ$51,3,FALSE)&lt;&gt;"Soft",
          IF(
             AND(VLOOKUP(Z$2,'TIS Site Config'!$A$3:$AQ$51,22,FALSE)="Split",
                        VLOOKUP(Z$2,'TIS Site Config'!$A$3:$AQ$51,6,FALSE)="Non-heated"),
                             1,0),0)</f>
        <v>0</v>
      </c>
      <c r="AA73" s="309">
        <f>IF(VLOOKUP(AA$2,'TIS Site Config'!$A$4:$AQ$51,3,FALSE)&lt;&gt;"Soft",
          IF(
             AND(VLOOKUP(AA$2,'TIS Site Config'!$A$3:$AQ$51,22,FALSE)="Split",
                        VLOOKUP(AA$2,'TIS Site Config'!$A$3:$AQ$51,6,FALSE)="Non-heated"),
                             1,0),0)</f>
        <v>0</v>
      </c>
      <c r="AB73" s="212">
        <f>IF(VLOOKUP(AB$2,'TIS Site Config'!$A$4:$AQ$51,3,FALSE)&lt;&gt;"Soft",
          IF(
             AND(VLOOKUP(AB$2,'TIS Site Config'!$A$3:$AQ$51,22,FALSE)="Split",
                        VLOOKUP(AB$2,'TIS Site Config'!$A$3:$AQ$51,6,FALSE)="Non-heated"),
                             1,0),0)</f>
        <v>0</v>
      </c>
      <c r="AC73" s="309">
        <f>IF(VLOOKUP(AC$2,'TIS Site Config'!$A$4:$AQ$51,3,FALSE)&lt;&gt;"Soft",
          IF(
             AND(VLOOKUP(AC$2,'TIS Site Config'!$A$3:$AQ$51,22,FALSE)="Split",
                        VLOOKUP(AC$2,'TIS Site Config'!$A$3:$AQ$51,6,FALSE)="Non-heated"),
                             1,0),0)</f>
        <v>0</v>
      </c>
      <c r="AD73" s="213">
        <f>IF(VLOOKUP(AD$2,'TIS Site Config'!$A$4:$AQ$51,3,FALSE)&lt;&gt;"Soft",
          IF(
             AND(VLOOKUP(AD$2,'TIS Site Config'!$A$3:$AQ$51,22,FALSE)="Split",
                        VLOOKUP(AD$2,'TIS Site Config'!$A$3:$AQ$51,6,FALSE)="Non-heated"),
                             1,0),0)</f>
        <v>0</v>
      </c>
      <c r="AE73" s="213">
        <f>IF(VLOOKUP(AE$2,'TIS Site Config'!$A$4:$AQ$51,3,FALSE)&lt;&gt;"Soft",
          IF(
             AND(VLOOKUP(AE$2,'TIS Site Config'!$A$3:$AQ$51,22,FALSE)="Split",
                        VLOOKUP(AE$2,'TIS Site Config'!$A$3:$AQ$51,6,FALSE)="Non-heated"),
                             1,0),0)</f>
        <v>0</v>
      </c>
      <c r="AF73" s="39">
        <f>IF(VLOOKUP(AF$2,'TIS Site Config'!$A$4:$AQ$51,3,FALSE)&lt;&gt;"Soft",
          IF(
             AND(VLOOKUP(AF$2,'TIS Site Config'!$A$3:$AQ$51,22,FALSE)="Split",
                        VLOOKUP(AF$2,'TIS Site Config'!$A$3:$AQ$51,6,FALSE)="Non-heated"),
                             1,0),0)</f>
        <v>0</v>
      </c>
      <c r="AG73" s="309">
        <f>IF(VLOOKUP(AG$2,'TIS Site Config'!$A$4:$AQ$51,3,FALSE)&lt;&gt;"Soft",
          IF(
             AND(VLOOKUP(AG$2,'TIS Site Config'!$A$3:$AQ$51,22,FALSE)="Split",
                        VLOOKUP(AG$2,'TIS Site Config'!$A$3:$AQ$51,6,FALSE)="Non-heated"),
                             1,0),0)</f>
        <v>0</v>
      </c>
      <c r="AH73" s="212">
        <f>IF(VLOOKUP(AH$2,'TIS Site Config'!$A$4:$AQ$51,3,FALSE)&lt;&gt;"Soft",
          IF(
             AND(VLOOKUP(AH$2,'TIS Site Config'!$A$3:$AQ$51,22,FALSE)="Split",
                        VLOOKUP(AH$2,'TIS Site Config'!$A$3:$AQ$51,6,FALSE)="Non-heated"),
                             1,0),0)</f>
        <v>0</v>
      </c>
      <c r="AI73" s="134">
        <f>IF(VLOOKUP(AI$2,'TIS Site Config'!$A$4:$AQ$51,3,FALSE)&lt;&gt;"Soft",
          IF(
             AND(VLOOKUP(AI$2,'TIS Site Config'!$A$3:$AQ$51,22,FALSE)="Split",
                        VLOOKUP(AI$2,'TIS Site Config'!$A$3:$AQ$51,6,FALSE)="Non-heated"),
                             1,0),0)</f>
        <v>0</v>
      </c>
      <c r="AJ73" s="309">
        <f>IF(VLOOKUP(AJ$2,'TIS Site Config'!$A$4:$AQ$51,3,FALSE)&lt;&gt;"Soft",
          IF(
             AND(VLOOKUP(AJ$2,'TIS Site Config'!$A$3:$AQ$51,22,FALSE)="Split",
                        VLOOKUP(AJ$2,'TIS Site Config'!$A$3:$AQ$51,6,FALSE)="Non-heated"),
                             1,0),0)</f>
        <v>0</v>
      </c>
      <c r="AK73" s="212">
        <f>IF(VLOOKUP(AK$2,'TIS Site Config'!$A$4:$AQ$51,3,FALSE)&lt;&gt;"Soft",
          IF(
             AND(VLOOKUP(AK$2,'TIS Site Config'!$A$3:$AQ$51,22,FALSE)="Split",
                        VLOOKUP(AK$2,'TIS Site Config'!$A$3:$AQ$51,6,FALSE)="Non-heated"),
                             1,0),0)</f>
        <v>0</v>
      </c>
      <c r="AL73" s="134">
        <f>IF(VLOOKUP(AL$2,'TIS Site Config'!$A$4:$AQ$51,3,FALSE)&lt;&gt;"Soft",
          IF(
             AND(VLOOKUP(AL$2,'TIS Site Config'!$A$3:$AQ$51,22,FALSE)="Split",
                        VLOOKUP(AL$2,'TIS Site Config'!$A$3:$AQ$51,6,FALSE)="Non-heated"),
                             1,0),0)</f>
        <v>0</v>
      </c>
      <c r="AM73" s="309">
        <f>IF(VLOOKUP(AM$2,'TIS Site Config'!$A$4:$AQ$51,3,FALSE)&lt;&gt;"Soft",
          IF(
             AND(VLOOKUP(AM$2,'TIS Site Config'!$A$3:$AQ$51,22,FALSE)="Split",
                        VLOOKUP(AM$2,'TIS Site Config'!$A$3:$AQ$51,6,FALSE)="Non-heated"),
                             1,0),0)</f>
        <v>0</v>
      </c>
      <c r="AN73" s="212">
        <f>IF(VLOOKUP(AN$2,'TIS Site Config'!$A$4:$AQ$51,3,FALSE)&lt;&gt;"Soft",
          IF(
             AND(VLOOKUP(AN$2,'TIS Site Config'!$A$3:$AQ$51,22,FALSE)="Split",
                        VLOOKUP(AN$2,'TIS Site Config'!$A$3:$AQ$51,6,FALSE)="Non-heated"),
                             1,0),0)</f>
        <v>0</v>
      </c>
      <c r="AO73" s="134">
        <f>IF(VLOOKUP(AO$2,'TIS Site Config'!$A$4:$AQ$51,3,FALSE)&lt;&gt;"Soft",
          IF(
             AND(VLOOKUP(AO$2,'TIS Site Config'!$A$3:$AQ$51,22,FALSE)="Split",
                        VLOOKUP(AO$2,'TIS Site Config'!$A$3:$AQ$51,6,FALSE)="Non-heated"),
                             1,0),0)</f>
        <v>0</v>
      </c>
      <c r="AP73" s="309">
        <f>IF(VLOOKUP(AP$2,'TIS Site Config'!$A$4:$AQ$51,3,FALSE)&lt;&gt;"Soft",
          IF(
             AND(VLOOKUP(AP$2,'TIS Site Config'!$A$3:$AQ$51,22,FALSE)="Split",
                        VLOOKUP(AP$2,'TIS Site Config'!$A$3:$AQ$51,6,FALSE)="Non-heated"),
                             1,0),0)</f>
        <v>0</v>
      </c>
      <c r="AQ73" s="134">
        <f>IF(VLOOKUP(AQ$2,'TIS Site Config'!$A$4:$AQ$51,3,FALSE)&lt;&gt;"Soft",
          IF(
             AND(VLOOKUP(AQ$2,'TIS Site Config'!$A$3:$AQ$51,22,FALSE)="Split",
                        VLOOKUP(AQ$2,'TIS Site Config'!$A$3:$AQ$51,6,FALSE)="Non-heated"),
                             1,0),0)</f>
        <v>0</v>
      </c>
      <c r="AR73" s="134">
        <f>IF(VLOOKUP(AR$2,'TIS Site Config'!$A$4:$AQ$51,3,FALSE)&lt;&gt;"Soft",
          IF(
             AND(VLOOKUP(AR$2,'TIS Site Config'!$A$3:$AQ$51,22,FALSE)="Split",
                        VLOOKUP(AR$2,'TIS Site Config'!$A$3:$AQ$51,6,FALSE)="Non-heated"),
                             1,0),0)</f>
        <v>0</v>
      </c>
      <c r="AS73" s="309">
        <f>IF(VLOOKUP(AS$2,'TIS Site Config'!$A$4:$AQ$51,3,FALSE)&lt;&gt;"Soft",
          IF(
             AND(VLOOKUP(AS$2,'TIS Site Config'!$A$3:$AQ$51,22,FALSE)="Split",
                        VLOOKUP(AS$2,'TIS Site Config'!$A$3:$AQ$51,6,FALSE)="Non-heated"),
                             1,0),0)</f>
        <v>0</v>
      </c>
      <c r="AT73" s="134">
        <f>IF(VLOOKUP(AT$2,'TIS Site Config'!$A$4:$AQ$51,3,FALSE)&lt;&gt;"Soft",
          IF(
             AND(VLOOKUP(AT$2,'TIS Site Config'!$A$3:$AQ$51,22,FALSE)="Split",
                        VLOOKUP(AT$2,'TIS Site Config'!$A$3:$AQ$51,6,FALSE)="Non-heated"),
                             1,0),0)</f>
        <v>0</v>
      </c>
      <c r="AU73" s="309">
        <f>IF(VLOOKUP(AU$2,'TIS Site Config'!$A$4:$AQ$51,3,FALSE)&lt;&gt;"Soft",
          IF(
             AND(VLOOKUP(AU$2,'TIS Site Config'!$A$3:$AQ$51,22,FALSE)="Split",
                        VLOOKUP(AU$2,'TIS Site Config'!$A$3:$AQ$51,6,FALSE)="Non-heated"),
                             1,0),0)</f>
        <v>0</v>
      </c>
      <c r="AV73" s="134">
        <f>IF(VLOOKUP(AV$2,'TIS Site Config'!$A$4:$AQ$51,3,FALSE)&lt;&gt;"Soft",
          IF(
             AND(VLOOKUP(AV$2,'TIS Site Config'!$A$3:$AQ$51,22,FALSE)="Split",
                        VLOOKUP(AV$2,'TIS Site Config'!$A$3:$AQ$51,6,FALSE)="Non-heated"),
                             1,0),0)</f>
        <v>0</v>
      </c>
      <c r="AW73" s="134">
        <f>IF(VLOOKUP(AW$2,'TIS Site Config'!$A$4:$AQ$51,3,FALSE)&lt;&gt;"Soft",
          IF(
             AND(VLOOKUP(AW$2,'TIS Site Config'!$A$3:$AQ$51,22,FALSE)="Split",
                        VLOOKUP(AW$2,'TIS Site Config'!$A$3:$AQ$51,6,FALSE)="Non-heated"),
                             1,0),0)</f>
        <v>0</v>
      </c>
      <c r="AX73" s="212">
        <f>IF(VLOOKUP(AX$2,'TIS Site Config'!$A$4:$AQ$51,3,FALSE)&lt;&gt;"Soft",
          IF(
             AND(VLOOKUP(AX$2,'TIS Site Config'!$A$3:$AQ$51,22,FALSE)="Split",
                        VLOOKUP(AX$2,'TIS Site Config'!$A$3:$AQ$51,6,FALSE)="Non-heated"),
                             1,0),0)</f>
        <v>0</v>
      </c>
      <c r="AY73" s="134">
        <f>IF(VLOOKUP(AY$2,'TIS Site Config'!$A$4:$AQ$51,3,FALSE)&lt;&gt;"Soft",
          IF(
             AND(VLOOKUP(AY$2,'TIS Site Config'!$A$3:$AQ$51,22,FALSE)="Split",
                        VLOOKUP(AY$2,'TIS Site Config'!$A$3:$AQ$51,6,FALSE)="Non-heated"),
                             1,0),0)</f>
        <v>0</v>
      </c>
      <c r="AZ73" s="309">
        <f>IF(VLOOKUP(AZ$2,'TIS Site Config'!$A$4:$AQ$51,3,FALSE)&lt;&gt;"Soft",
          IF(
             AND(VLOOKUP(AZ$2,'TIS Site Config'!$A$3:$AQ$51,22,FALSE)="Split",
                        VLOOKUP(AZ$2,'TIS Site Config'!$A$3:$AQ$51,6,FALSE)="Non-heated"),
                             1,0),0)</f>
        <v>0</v>
      </c>
      <c r="BA73" s="213">
        <f>IF(VLOOKUP(BA$2,'TIS Site Config'!$A$4:$AQ$51,3,FALSE)&lt;&gt;"Soft",
          IF(
             AND(VLOOKUP(BA$2,'TIS Site Config'!$A$3:$AQ$51,22,FALSE)="Split",
                        VLOOKUP(BA$2,'TIS Site Config'!$A$3:$AQ$51,6,FALSE)="Non-heated"),
                             1,0),0)</f>
        <v>0</v>
      </c>
      <c r="BB73" s="134">
        <f>IF(VLOOKUP(BB$2,'TIS Site Config'!$A$4:$AQ$51,3,FALSE)&lt;&gt;"Soft",
          IF(
             AND(VLOOKUP(BB$2,'TIS Site Config'!$A$3:$AQ$51,22,FALSE)="Split",
                        VLOOKUP(BB$2,'TIS Site Config'!$A$3:$AQ$51,6,FALSE)="Non-heated"),
                             1,0),0)</f>
        <v>0</v>
      </c>
      <c r="BC73" s="212">
        <f>IF(VLOOKUP(BC$2,'TIS Site Config'!$A$4:$AQ$51,3,FALSE)&lt;&gt;"Soft",
          IF(
             AND(VLOOKUP(BC$2,'TIS Site Config'!$A$3:$AQ$51,22,FALSE)="Split",
                        VLOOKUP(BC$2,'TIS Site Config'!$A$3:$AQ$51,6,FALSE)="Non-heated"),
                             1,0),0)</f>
        <v>0</v>
      </c>
      <c r="BD73" s="134">
        <f>IF(VLOOKUP(BD$2,'TIS Site Config'!$A$4:$AQ$51,3,FALSE)&lt;&gt;"Soft",
          IF(
             AND(VLOOKUP(BD$2,'TIS Site Config'!$A$3:$AQ$51,22,FALSE)="Split",
                        VLOOKUP(BD$2,'TIS Site Config'!$A$3:$AQ$51,6,FALSE)="Non-heated"),
                             1,0),0)</f>
        <v>0</v>
      </c>
      <c r="BE73" s="309">
        <f>IF(VLOOKUP(BE$2,'TIS Site Config'!$A$4:$AQ$51,3,FALSE)&lt;&gt;"Soft",
          IF(
             AND(VLOOKUP(BE$2,'TIS Site Config'!$A$3:$AQ$51,22,FALSE)="Split",
                        VLOOKUP(BE$2,'TIS Site Config'!$A$3:$AQ$51,6,FALSE)="Non-heated"),
                             1,0),0)</f>
        <v>0</v>
      </c>
      <c r="BF73" s="212">
        <f>IF(VLOOKUP(BF$2,'TIS Site Config'!$A$4:$AQ$51,3,FALSE)&lt;&gt;"Soft",
          IF(
             AND(VLOOKUP(BF$2,'TIS Site Config'!$A$3:$AQ$51,22,FALSE)="Split",
                        VLOOKUP(BF$2,'TIS Site Config'!$A$3:$AQ$51,6,FALSE)="Non-heated"),
                             1,0),0)</f>
        <v>0</v>
      </c>
      <c r="BG73" s="60">
        <f>IF(VLOOKUP(BG$2,'TIS Site Config'!$A$4:$AQ$51,3,FALSE)&lt;&gt;"Soft",
          IF(
             AND(VLOOKUP(BG$2,'TIS Site Config'!$A$3:$AQ$51,22,FALSE)="Split",
                        VLOOKUP(BG$2,'TIS Site Config'!$A$3:$AQ$51,6,FALSE)="Non-heated"),
                             1,0),0)</f>
        <v>0</v>
      </c>
      <c r="BH73" s="60">
        <f>IF(VLOOKUP(BH$2,'TIS Site Config'!$A$4:$AQ$51,3,FALSE)&lt;&gt;"Soft",
          IF(
             AND(VLOOKUP(BH$2,'TIS Site Config'!$A$3:$AQ$51,22,FALSE)="Split",
                        VLOOKUP(BH$2,'TIS Site Config'!$A$3:$AQ$51,6,FALSE)="Non-heated"),
                             1,0),0)</f>
        <v>0</v>
      </c>
      <c r="BK73" s="3">
        <v>8</v>
      </c>
      <c r="BL73" s="950" t="b">
        <f t="shared" ref="BL73:BL100" si="6">F73=BK73</f>
        <v>0</v>
      </c>
      <c r="BO73" s="950"/>
    </row>
    <row r="74" spans="1:67" x14ac:dyDescent="0.25">
      <c r="A74" s="1366"/>
      <c r="B74" s="1343"/>
      <c r="C74" s="69" t="s">
        <v>161</v>
      </c>
      <c r="D74" s="91">
        <v>1</v>
      </c>
      <c r="E74" s="85" t="s">
        <v>312</v>
      </c>
      <c r="F74" s="62">
        <f t="shared" si="5"/>
        <v>0</v>
      </c>
      <c r="G74" s="450"/>
      <c r="H74" s="451"/>
      <c r="I74" s="451">
        <v>1</v>
      </c>
      <c r="J74" s="451"/>
      <c r="K74" s="452"/>
      <c r="L74" s="491"/>
      <c r="M74" s="136">
        <f>IF(VLOOKUP(M$2,'TIS Site Config'!$A$4:$AQ$51,3,FALSE)&lt;&gt;"Soft",
          IF(
             AND(VLOOKUP(M$2,'TIS Site Config'!$A$3:$AQ$51,22,FALSE)="Split",
                        VLOOKUP(M$2,'TIS Site Config'!$A$3:$AQ$51,6,FALSE)="Heated"),
                              1,0),0)</f>
        <v>0</v>
      </c>
      <c r="N74" s="222">
        <f>IF(VLOOKUP(N$2,'TIS Site Config'!$A$4:$AQ$51,3,FALSE)&lt;&gt;"Soft",
          IF(
             AND(VLOOKUP(N$2,'TIS Site Config'!$A$3:$AQ$51,22,FALSE)="Split",
                        VLOOKUP(N$2,'TIS Site Config'!$A$3:$AQ$51,6,FALSE)="Heated"),
                              1,0),0)</f>
        <v>0</v>
      </c>
      <c r="O74" s="225">
        <f>IF(VLOOKUP(O$2,'TIS Site Config'!$A$4:$AQ$51,3,FALSE)&lt;&gt;"Soft",
          IF(
             AND(VLOOKUP(O$2,'TIS Site Config'!$A$3:$AQ$51,22,FALSE)="Split",
                        VLOOKUP(O$2,'TIS Site Config'!$A$3:$AQ$51,6,FALSE)="Heated"),
                              1,0),0)</f>
        <v>0</v>
      </c>
      <c r="P74" s="21">
        <f>IF(VLOOKUP(P$2,'TIS Site Config'!$A$4:$AQ$51,3,FALSE)&lt;&gt;"Soft",
          IF(
             AND(VLOOKUP(P$2,'TIS Site Config'!$A$3:$AQ$51,22,FALSE)="Split",
                        VLOOKUP(P$2,'TIS Site Config'!$A$3:$AQ$51,6,FALSE)="Heated"),
                              1,0),0)</f>
        <v>0</v>
      </c>
      <c r="Q74" s="222">
        <f>IF(VLOOKUP(Q$2,'TIS Site Config'!$A$4:$AQ$51,3,FALSE)&lt;&gt;"Soft",
          IF(
             AND(VLOOKUP(Q$2,'TIS Site Config'!$A$3:$AQ$51,22,FALSE)="Split",
                        VLOOKUP(Q$2,'TIS Site Config'!$A$3:$AQ$51,6,FALSE)="Heated"),
                              1,0),0)</f>
        <v>0</v>
      </c>
      <c r="R74" s="136">
        <f>IF(VLOOKUP(R$2,'TIS Site Config'!$A$4:$AQ$51,3,FALSE)&lt;&gt;"Soft",
          IF(
             AND(VLOOKUP(R$2,'TIS Site Config'!$A$3:$AQ$51,22,FALSE)="Split",
                        VLOOKUP(R$2,'TIS Site Config'!$A$3:$AQ$51,6,FALSE)="Heated"),
                              1,0),0)</f>
        <v>0</v>
      </c>
      <c r="S74" s="21">
        <f>IF(VLOOKUP(S$2,'TIS Site Config'!$A$4:$AQ$51,3,FALSE)&lt;&gt;"Soft",
          IF(
             AND(VLOOKUP(S$2,'TIS Site Config'!$A$3:$AQ$51,22,FALSE)="Split",
                        VLOOKUP(S$2,'TIS Site Config'!$A$3:$AQ$51,6,FALSE)="Heated"),
                              1,0),0)</f>
        <v>0</v>
      </c>
      <c r="T74" s="222">
        <f>IF(VLOOKUP(T$2,'TIS Site Config'!$A$4:$AQ$51,3,FALSE)&lt;&gt;"Soft",
          IF(
             AND(VLOOKUP(T$2,'TIS Site Config'!$A$3:$AQ$51,22,FALSE)="Split",
                        VLOOKUP(T$2,'TIS Site Config'!$A$3:$AQ$51,6,FALSE)="Heated"),
                              1,0),0)</f>
        <v>0</v>
      </c>
      <c r="U74" s="136">
        <f>IF(VLOOKUP(U$2,'TIS Site Config'!$A$4:$AQ$51,3,FALSE)&lt;&gt;"Soft",
          IF(
             AND(VLOOKUP(U$2,'TIS Site Config'!$A$3:$AQ$51,22,FALSE)="Split",
                        VLOOKUP(U$2,'TIS Site Config'!$A$3:$AQ$51,6,FALSE)="Heated"),
                              1,0),0)</f>
        <v>0</v>
      </c>
      <c r="V74" s="222">
        <f>IF(VLOOKUP(V$2,'TIS Site Config'!$A$4:$AQ$51,3,FALSE)&lt;&gt;"Soft",
          IF(
             AND(VLOOKUP(V$2,'TIS Site Config'!$A$3:$AQ$51,22,FALSE)="Split",
                        VLOOKUP(V$2,'TIS Site Config'!$A$3:$AQ$51,6,FALSE)="Heated"),
                              1,0),0)</f>
        <v>0</v>
      </c>
      <c r="W74" s="224">
        <f>IF(VLOOKUP(W$2,'TIS Site Config'!$A$4:$AQ$51,3,FALSE)&lt;&gt;"Soft",
          IF(
             AND(VLOOKUP(W$2,'TIS Site Config'!$A$3:$AQ$51,22,FALSE)="Split",
                        VLOOKUP(W$2,'TIS Site Config'!$A$3:$AQ$51,6,FALSE)="Heated"),
                              1,0),0)</f>
        <v>0</v>
      </c>
      <c r="X74" s="21">
        <f>IF(VLOOKUP(X$2,'TIS Site Config'!$A$4:$AQ$51,3,FALSE)&lt;&gt;"Soft",
          IF(
             AND(VLOOKUP(X$2,'TIS Site Config'!$A$3:$AQ$51,22,FALSE)="Split",
                        VLOOKUP(X$2,'TIS Site Config'!$A$3:$AQ$51,6,FALSE)="Heated"),
                              1,0),0)</f>
        <v>0</v>
      </c>
      <c r="Y74" s="222">
        <f>IF(VLOOKUP(Y$2,'TIS Site Config'!$A$4:$AQ$51,3,FALSE)&lt;&gt;"Soft",
          IF(
             AND(VLOOKUP(Y$2,'TIS Site Config'!$A$3:$AQ$51,22,FALSE)="Split",
                        VLOOKUP(Y$2,'TIS Site Config'!$A$3:$AQ$51,6,FALSE)="Heated"),
                              1,0),0)</f>
        <v>0</v>
      </c>
      <c r="Z74" s="136">
        <f>IF(VLOOKUP(Z$2,'TIS Site Config'!$A$4:$AQ$51,3,FALSE)&lt;&gt;"Soft",
          IF(
             AND(VLOOKUP(Z$2,'TIS Site Config'!$A$3:$AQ$51,22,FALSE)="Split",
                        VLOOKUP(Z$2,'TIS Site Config'!$A$3:$AQ$51,6,FALSE)="Heated"),
                              1,0),0)</f>
        <v>0</v>
      </c>
      <c r="AA74" s="21">
        <f>IF(VLOOKUP(AA$2,'TIS Site Config'!$A$4:$AQ$51,3,FALSE)&lt;&gt;"Soft",
          IF(
             AND(VLOOKUP(AA$2,'TIS Site Config'!$A$3:$AQ$51,22,FALSE)="Split",
                        VLOOKUP(AA$2,'TIS Site Config'!$A$3:$AQ$51,6,FALSE)="Heated"),
                              1,0),0)</f>
        <v>0</v>
      </c>
      <c r="AB74" s="222">
        <f>IF(VLOOKUP(AB$2,'TIS Site Config'!$A$4:$AQ$51,3,FALSE)&lt;&gt;"Soft",
          IF(
             AND(VLOOKUP(AB$2,'TIS Site Config'!$A$3:$AQ$51,22,FALSE)="Split",
                        VLOOKUP(AB$2,'TIS Site Config'!$A$3:$AQ$51,6,FALSE)="Heated"),
                              1,0),0)</f>
        <v>0</v>
      </c>
      <c r="AC74" s="21">
        <f>IF(VLOOKUP(AC$2,'TIS Site Config'!$A$4:$AQ$51,3,FALSE)&lt;&gt;"Soft",
          IF(
             AND(VLOOKUP(AC$2,'TIS Site Config'!$A$3:$AQ$51,22,FALSE)="Split",
                        VLOOKUP(AC$2,'TIS Site Config'!$A$3:$AQ$51,6,FALSE)="Heated"),
                              1,0),0)</f>
        <v>0</v>
      </c>
      <c r="AD74" s="223">
        <f>IF(VLOOKUP(AD$2,'TIS Site Config'!$A$4:$AQ$51,3,FALSE)&lt;&gt;"Soft",
          IF(
             AND(VLOOKUP(AD$2,'TIS Site Config'!$A$3:$AQ$51,22,FALSE)="Split",
                        VLOOKUP(AD$2,'TIS Site Config'!$A$3:$AQ$51,6,FALSE)="Heated"),
                              1,0),0)</f>
        <v>0</v>
      </c>
      <c r="AE74" s="223">
        <f>IF(VLOOKUP(AE$2,'TIS Site Config'!$A$4:$AQ$51,3,FALSE)&lt;&gt;"Soft",
          IF(
             AND(VLOOKUP(AE$2,'TIS Site Config'!$A$3:$AQ$51,22,FALSE)="Split",
                        VLOOKUP(AE$2,'TIS Site Config'!$A$3:$AQ$51,6,FALSE)="Heated"),
                              1,0),0)</f>
        <v>0</v>
      </c>
      <c r="AF74" s="16">
        <f>IF(VLOOKUP(AF$2,'TIS Site Config'!$A$4:$AQ$51,3,FALSE)&lt;&gt;"Soft",
          IF(
             AND(VLOOKUP(AF$2,'TIS Site Config'!$A$3:$AQ$51,22,FALSE)="Split",
                        VLOOKUP(AF$2,'TIS Site Config'!$A$3:$AQ$51,6,FALSE)="Heated"),
                              1,0),0)</f>
        <v>0</v>
      </c>
      <c r="AG74" s="21">
        <f>IF(VLOOKUP(AG$2,'TIS Site Config'!$A$4:$AQ$51,3,FALSE)&lt;&gt;"Soft",
          IF(
             AND(VLOOKUP(AG$2,'TIS Site Config'!$A$3:$AQ$51,22,FALSE)="Split",
                        VLOOKUP(AG$2,'TIS Site Config'!$A$3:$AQ$51,6,FALSE)="Heated"),
                              1,0),0)</f>
        <v>0</v>
      </c>
      <c r="AH74" s="222">
        <f>IF(VLOOKUP(AH$2,'TIS Site Config'!$A$4:$AQ$51,3,FALSE)&lt;&gt;"Soft",
          IF(
             AND(VLOOKUP(AH$2,'TIS Site Config'!$A$3:$AQ$51,22,FALSE)="Split",
                        VLOOKUP(AH$2,'TIS Site Config'!$A$3:$AQ$51,6,FALSE)="Heated"),
                              1,0),0)</f>
        <v>0</v>
      </c>
      <c r="AI74" s="136">
        <f>IF(VLOOKUP(AI$2,'TIS Site Config'!$A$4:$AQ$51,3,FALSE)&lt;&gt;"Soft",
          IF(
             AND(VLOOKUP(AI$2,'TIS Site Config'!$A$3:$AQ$51,22,FALSE)="Split",
                        VLOOKUP(AI$2,'TIS Site Config'!$A$3:$AQ$51,6,FALSE)="Heated"),
                              1,0),0)</f>
        <v>0</v>
      </c>
      <c r="AJ74" s="21">
        <f>IF(VLOOKUP(AJ$2,'TIS Site Config'!$A$4:$AQ$51,3,FALSE)&lt;&gt;"Soft",
          IF(
             AND(VLOOKUP(AJ$2,'TIS Site Config'!$A$3:$AQ$51,22,FALSE)="Split",
                        VLOOKUP(AJ$2,'TIS Site Config'!$A$3:$AQ$51,6,FALSE)="Heated"),
                              1,0),0)</f>
        <v>0</v>
      </c>
      <c r="AK74" s="222">
        <f>IF(VLOOKUP(AK$2,'TIS Site Config'!$A$4:$AQ$51,3,FALSE)&lt;&gt;"Soft",
          IF(
             AND(VLOOKUP(AK$2,'TIS Site Config'!$A$3:$AQ$51,22,FALSE)="Split",
                        VLOOKUP(AK$2,'TIS Site Config'!$A$3:$AQ$51,6,FALSE)="Heated"),
                              1,0),0)</f>
        <v>0</v>
      </c>
      <c r="AL74" s="1009">
        <f>IF(VLOOKUP(AL$2,'TIS Site Config'!$A$4:$AQ$51,3,FALSE)&lt;&gt;"Soft",
          IF(
             AND(VLOOKUP(AL$2,'TIS Site Config'!$A$3:$AQ$51,22,FALSE)="Split",
                        VLOOKUP(AL$2,'TIS Site Config'!$A$3:$AQ$51,6,FALSE)="Heated"),
                              1,0),0)</f>
        <v>0</v>
      </c>
      <c r="AM74" s="21">
        <f>IF(VLOOKUP(AM$2,'TIS Site Config'!$A$4:$AQ$51,3,FALSE)&lt;&gt;"Soft",
          IF(
             AND(VLOOKUP(AM$2,'TIS Site Config'!$A$3:$AQ$51,22,FALSE)="Split",
                        VLOOKUP(AM$2,'TIS Site Config'!$A$3:$AQ$51,6,FALSE)="Heated"),
                              1,0),0)</f>
        <v>0</v>
      </c>
      <c r="AN74" s="222">
        <f>IF(VLOOKUP(AN$2,'TIS Site Config'!$A$4:$AQ$51,3,FALSE)&lt;&gt;"Soft",
          IF(
             AND(VLOOKUP(AN$2,'TIS Site Config'!$A$3:$AQ$51,22,FALSE)="Split",
                        VLOOKUP(AN$2,'TIS Site Config'!$A$3:$AQ$51,6,FALSE)="Heated"),
                              1,0),0)</f>
        <v>0</v>
      </c>
      <c r="AO74" s="136">
        <f>IF(VLOOKUP(AO$2,'TIS Site Config'!$A$4:$AQ$51,3,FALSE)&lt;&gt;"Soft",
          IF(
             AND(VLOOKUP(AO$2,'TIS Site Config'!$A$3:$AQ$51,22,FALSE)="Split",
                        VLOOKUP(AO$2,'TIS Site Config'!$A$3:$AQ$51,6,FALSE)="Heated"),
                              1,0),0)</f>
        <v>0</v>
      </c>
      <c r="AP74" s="21">
        <f>IF(VLOOKUP(AP$2,'TIS Site Config'!$A$4:$AQ$51,3,FALSE)&lt;&gt;"Soft",
          IF(
             AND(VLOOKUP(AP$2,'TIS Site Config'!$A$3:$AQ$51,22,FALSE)="Split",
                        VLOOKUP(AP$2,'TIS Site Config'!$A$3:$AQ$51,6,FALSE)="Heated"),
                              1,0),0)</f>
        <v>0</v>
      </c>
      <c r="AQ74" s="136">
        <f>IF(VLOOKUP(AQ$2,'TIS Site Config'!$A$4:$AQ$51,3,FALSE)&lt;&gt;"Soft",
          IF(
             AND(VLOOKUP(AQ$2,'TIS Site Config'!$A$3:$AQ$51,22,FALSE)="Split",
                        VLOOKUP(AQ$2,'TIS Site Config'!$A$3:$AQ$51,6,FALSE)="Heated"),
                              1,0),0)</f>
        <v>0</v>
      </c>
      <c r="AR74" s="136">
        <f>IF(VLOOKUP(AR$2,'TIS Site Config'!$A$4:$AQ$51,3,FALSE)&lt;&gt;"Soft",
          IF(
             AND(VLOOKUP(AR$2,'TIS Site Config'!$A$3:$AQ$51,22,FALSE)="Split",
                        VLOOKUP(AR$2,'TIS Site Config'!$A$3:$AQ$51,6,FALSE)="Heated"),
                              1,0),0)</f>
        <v>0</v>
      </c>
      <c r="AS74" s="21">
        <f>IF(VLOOKUP(AS$2,'TIS Site Config'!$A$4:$AQ$51,3,FALSE)&lt;&gt;"Soft",
          IF(
             AND(VLOOKUP(AS$2,'TIS Site Config'!$A$3:$AQ$51,22,FALSE)="Split",
                        VLOOKUP(AS$2,'TIS Site Config'!$A$3:$AQ$51,6,FALSE)="Heated"),
                              1,0),0)</f>
        <v>0</v>
      </c>
      <c r="AT74" s="136">
        <f>IF(VLOOKUP(AT$2,'TIS Site Config'!$A$4:$AQ$51,3,FALSE)&lt;&gt;"Soft",
          IF(
             AND(VLOOKUP(AT$2,'TIS Site Config'!$A$3:$AQ$51,22,FALSE)="Split",
                        VLOOKUP(AT$2,'TIS Site Config'!$A$3:$AQ$51,6,FALSE)="Heated"),
                              1,0),0)</f>
        <v>0</v>
      </c>
      <c r="AU74" s="21">
        <f>IF(VLOOKUP(AU$2,'TIS Site Config'!$A$4:$AQ$51,3,FALSE)&lt;&gt;"Soft",
          IF(
             AND(VLOOKUP(AU$2,'TIS Site Config'!$A$3:$AQ$51,22,FALSE)="Split",
                        VLOOKUP(AU$2,'TIS Site Config'!$A$3:$AQ$51,6,FALSE)="Heated"),
                              1,0),0)</f>
        <v>0</v>
      </c>
      <c r="AV74" s="136">
        <f>IF(VLOOKUP(AV$2,'TIS Site Config'!$A$4:$AQ$51,3,FALSE)&lt;&gt;"Soft",
          IF(
             AND(VLOOKUP(AV$2,'TIS Site Config'!$A$3:$AQ$51,22,FALSE)="Split",
                        VLOOKUP(AV$2,'TIS Site Config'!$A$3:$AQ$51,6,FALSE)="Heated"),
                              1,0),0)</f>
        <v>0</v>
      </c>
      <c r="AW74" s="136">
        <f>IF(VLOOKUP(AW$2,'TIS Site Config'!$A$4:$AQ$51,3,FALSE)&lt;&gt;"Soft",
          IF(
             AND(VLOOKUP(AW$2,'TIS Site Config'!$A$3:$AQ$51,22,FALSE)="Split",
                        VLOOKUP(AW$2,'TIS Site Config'!$A$3:$AQ$51,6,FALSE)="Heated"),
                              1,0),0)</f>
        <v>0</v>
      </c>
      <c r="AX74" s="222">
        <f>IF(VLOOKUP(AX$2,'TIS Site Config'!$A$4:$AQ$51,3,FALSE)&lt;&gt;"Soft",
          IF(
             AND(VLOOKUP(AX$2,'TIS Site Config'!$A$3:$AQ$51,22,FALSE)="Split",
                        VLOOKUP(AX$2,'TIS Site Config'!$A$3:$AQ$51,6,FALSE)="Heated"),
                              1,0),0)</f>
        <v>0</v>
      </c>
      <c r="AY74" s="136">
        <f>IF(VLOOKUP(AY$2,'TIS Site Config'!$A$4:$AQ$51,3,FALSE)&lt;&gt;"Soft",
          IF(
             AND(VLOOKUP(AY$2,'TIS Site Config'!$A$3:$AQ$51,22,FALSE)="Split",
                        VLOOKUP(AY$2,'TIS Site Config'!$A$3:$AQ$51,6,FALSE)="Heated"),
                              1,0),0)</f>
        <v>0</v>
      </c>
      <c r="AZ74" s="21">
        <f>IF(VLOOKUP(AZ$2,'TIS Site Config'!$A$4:$AQ$51,3,FALSE)&lt;&gt;"Soft",
          IF(
             AND(VLOOKUP(AZ$2,'TIS Site Config'!$A$3:$AQ$51,22,FALSE)="Split",
                        VLOOKUP(AZ$2,'TIS Site Config'!$A$3:$AQ$51,6,FALSE)="Heated"),
                              1,0),0)</f>
        <v>0</v>
      </c>
      <c r="BA74" s="223">
        <f>IF(VLOOKUP(BA$2,'TIS Site Config'!$A$4:$AQ$51,3,FALSE)&lt;&gt;"Soft",
          IF(
             AND(VLOOKUP(BA$2,'TIS Site Config'!$A$3:$AQ$51,22,FALSE)="Split",
                        VLOOKUP(BA$2,'TIS Site Config'!$A$3:$AQ$51,6,FALSE)="Heated"),
                              1,0),0)</f>
        <v>0</v>
      </c>
      <c r="BB74" s="136">
        <f>IF(VLOOKUP(BB$2,'TIS Site Config'!$A$4:$AQ$51,3,FALSE)&lt;&gt;"Soft",
          IF(
             AND(VLOOKUP(BB$2,'TIS Site Config'!$A$3:$AQ$51,22,FALSE)="Split",
                        VLOOKUP(BB$2,'TIS Site Config'!$A$3:$AQ$51,6,FALSE)="Heated"),
                              1,0),0)</f>
        <v>0</v>
      </c>
      <c r="BC74" s="222">
        <f>IF(VLOOKUP(BC$2,'TIS Site Config'!$A$4:$AQ$51,3,FALSE)&lt;&gt;"Soft",
          IF(
             AND(VLOOKUP(BC$2,'TIS Site Config'!$A$3:$AQ$51,22,FALSE)="Split",
                        VLOOKUP(BC$2,'TIS Site Config'!$A$3:$AQ$51,6,FALSE)="Heated"),
                              1,0),0)</f>
        <v>0</v>
      </c>
      <c r="BD74" s="136">
        <f>IF(VLOOKUP(BD$2,'TIS Site Config'!$A$4:$AQ$51,3,FALSE)&lt;&gt;"Soft",
          IF(
             AND(VLOOKUP(BD$2,'TIS Site Config'!$A$3:$AQ$51,22,FALSE)="Split",
                        VLOOKUP(BD$2,'TIS Site Config'!$A$3:$AQ$51,6,FALSE)="Heated"),
                              1,0),0)</f>
        <v>0</v>
      </c>
      <c r="BE74" s="21">
        <f>IF(VLOOKUP(BE$2,'TIS Site Config'!$A$4:$AQ$51,3,FALSE)&lt;&gt;"Soft",
          IF(
             AND(VLOOKUP(BE$2,'TIS Site Config'!$A$3:$AQ$51,22,FALSE)="Split",
                        VLOOKUP(BE$2,'TIS Site Config'!$A$3:$AQ$51,6,FALSE)="Heated"),
                              1,0),0)</f>
        <v>0</v>
      </c>
      <c r="BF74" s="222">
        <f>IF(VLOOKUP(BF$2,'TIS Site Config'!$A$4:$AQ$51,3,FALSE)&lt;&gt;"Soft",
          IF(
             AND(VLOOKUP(BF$2,'TIS Site Config'!$A$3:$AQ$51,22,FALSE)="Split",
                        VLOOKUP(BF$2,'TIS Site Config'!$A$3:$AQ$51,6,FALSE)="Heated"),
                              1,0),0)</f>
        <v>0</v>
      </c>
      <c r="BG74" s="62">
        <f>IF(VLOOKUP(BG$2,'TIS Site Config'!$A$4:$AQ$51,3,FALSE)&lt;&gt;"Soft",
          IF(
             AND(VLOOKUP(BG$2,'TIS Site Config'!$A$3:$AQ$51,22,FALSE)="Split",
                        VLOOKUP(BG$2,'TIS Site Config'!$A$3:$AQ$51,6,FALSE)="Heated"),
                              1,0),0)</f>
        <v>0</v>
      </c>
      <c r="BH74" s="62">
        <f>IF(VLOOKUP(BH$2,'TIS Site Config'!$A$4:$AQ$51,3,FALSE)&lt;&gt;"Soft",
          IF(
             AND(VLOOKUP(BH$2,'TIS Site Config'!$A$3:$AQ$51,22,FALSE)="Split",
                        VLOOKUP(BH$2,'TIS Site Config'!$A$3:$AQ$51,6,FALSE)="Heated"),
                              1,0),0)</f>
        <v>1</v>
      </c>
      <c r="BK74" s="3">
        <v>17</v>
      </c>
      <c r="BL74" s="950" t="b">
        <f t="shared" si="6"/>
        <v>0</v>
      </c>
      <c r="BO74" s="950"/>
    </row>
    <row r="75" spans="1:67" x14ac:dyDescent="0.25">
      <c r="A75" s="1366"/>
      <c r="B75" s="1343"/>
      <c r="C75" s="69" t="s">
        <v>162</v>
      </c>
      <c r="D75" s="91">
        <v>1</v>
      </c>
      <c r="E75" s="85" t="s">
        <v>313</v>
      </c>
      <c r="F75" s="62">
        <f t="shared" si="5"/>
        <v>11</v>
      </c>
      <c r="G75" s="450"/>
      <c r="H75" s="451"/>
      <c r="I75" s="451"/>
      <c r="J75" s="451"/>
      <c r="K75" s="452"/>
      <c r="L75" s="491"/>
      <c r="M75" s="136">
        <f>IF(VLOOKUP(M$2,'TIS Site Config'!$A$4:$AQ$51,3,FALSE)&lt;&gt;"Soft",
          IF(
             AND(VLOOKUP(M$2,'TIS Site Config'!$A$3:$AQ$51,22,FALSE)="Combined",
                        VLOOKUP(M$2,'TIS Site Config'!$A$3:$AQ$51,6,FALSE)="Non-heated"),
                              1,0),0)</f>
        <v>0</v>
      </c>
      <c r="N75" s="222">
        <f>IF(VLOOKUP(N$2,'TIS Site Config'!$A$4:$AQ$51,3,FALSE)&lt;&gt;"Soft",
          IF(
             AND(VLOOKUP(N$2,'TIS Site Config'!$A$3:$AQ$51,22,FALSE)="Combined",
                        VLOOKUP(N$2,'TIS Site Config'!$A$3:$AQ$51,6,FALSE)="Non-heated"),
                              1,0),0)</f>
        <v>0</v>
      </c>
      <c r="O75" s="225">
        <f>IF(VLOOKUP(O$2,'TIS Site Config'!$A$4:$AQ$51,3,FALSE)&lt;&gt;"Soft",
          IF(
             AND(VLOOKUP(O$2,'TIS Site Config'!$A$3:$AQ$51,22,FALSE)="Combined",
                        VLOOKUP(O$2,'TIS Site Config'!$A$3:$AQ$51,6,FALSE)="Non-heated"),
                              1,0),0)</f>
        <v>0</v>
      </c>
      <c r="P75" s="21">
        <f>IF(VLOOKUP(P$2,'TIS Site Config'!$A$4:$AQ$51,3,FALSE)&lt;&gt;"Soft",
          IF(
             AND(VLOOKUP(P$2,'TIS Site Config'!$A$3:$AQ$51,22,FALSE)="Combined",
                        VLOOKUP(P$2,'TIS Site Config'!$A$3:$AQ$51,6,FALSE)="Non-heated"),
                              1,0),0)</f>
        <v>0</v>
      </c>
      <c r="Q75" s="222">
        <f>IF(VLOOKUP(Q$2,'TIS Site Config'!$A$4:$AQ$51,3,FALSE)&lt;&gt;"Soft",
          IF(
             AND(VLOOKUP(Q$2,'TIS Site Config'!$A$3:$AQ$51,22,FALSE)="Combined",
                        VLOOKUP(Q$2,'TIS Site Config'!$A$3:$AQ$51,6,FALSE)="Non-heated"),
                              1,0),0)</f>
        <v>0</v>
      </c>
      <c r="R75" s="136">
        <f>IF(VLOOKUP(R$2,'TIS Site Config'!$A$4:$AQ$51,3,FALSE)&lt;&gt;"Soft",
          IF(
             AND(VLOOKUP(R$2,'TIS Site Config'!$A$3:$AQ$51,22,FALSE)="Combined",
                        VLOOKUP(R$2,'TIS Site Config'!$A$3:$AQ$51,6,FALSE)="Non-heated"),
                              1,0),0)</f>
        <v>1</v>
      </c>
      <c r="S75" s="21">
        <f>IF(VLOOKUP(S$2,'TIS Site Config'!$A$4:$AQ$51,3,FALSE)&lt;&gt;"Soft",
          IF(
             AND(VLOOKUP(S$2,'TIS Site Config'!$A$3:$AQ$51,22,FALSE)="Combined",
                        VLOOKUP(S$2,'TIS Site Config'!$A$3:$AQ$51,6,FALSE)="Non-heated"),
                              1,0),0)</f>
        <v>1</v>
      </c>
      <c r="T75" s="222">
        <f>IF(VLOOKUP(T$2,'TIS Site Config'!$A$4:$AQ$51,3,FALSE)&lt;&gt;"Soft",
          IF(
             AND(VLOOKUP(T$2,'TIS Site Config'!$A$3:$AQ$51,22,FALSE)="Combined",
                        VLOOKUP(T$2,'TIS Site Config'!$A$3:$AQ$51,6,FALSE)="Non-heated"),
                              1,0),0)</f>
        <v>1</v>
      </c>
      <c r="U75" s="136">
        <f>IF(VLOOKUP(U$2,'TIS Site Config'!$A$4:$AQ$51,3,FALSE)&lt;&gt;"Soft",
          IF(
             AND(VLOOKUP(U$2,'TIS Site Config'!$A$3:$AQ$51,22,FALSE)="Combined",
                        VLOOKUP(U$2,'TIS Site Config'!$A$3:$AQ$51,6,FALSE)="Non-heated"),
                              1,0),0)</f>
        <v>1</v>
      </c>
      <c r="V75" s="222">
        <f>IF(VLOOKUP(V$2,'TIS Site Config'!$A$4:$AQ$51,3,FALSE)&lt;&gt;"Soft",
          IF(
             AND(VLOOKUP(V$2,'TIS Site Config'!$A$3:$AQ$51,22,FALSE)="Combined",
                        VLOOKUP(V$2,'TIS Site Config'!$A$3:$AQ$51,6,FALSE)="Non-heated"),
                              1,0),0)</f>
        <v>1</v>
      </c>
      <c r="W75" s="224">
        <f>IF(VLOOKUP(W$2,'TIS Site Config'!$A$4:$AQ$51,3,FALSE)&lt;&gt;"Soft",
          IF(
             AND(VLOOKUP(W$2,'TIS Site Config'!$A$3:$AQ$51,22,FALSE)="Combined",
                        VLOOKUP(W$2,'TIS Site Config'!$A$3:$AQ$51,6,FALSE)="Non-heated"),
                              1,0),0)</f>
        <v>0</v>
      </c>
      <c r="X75" s="21">
        <f>IF(VLOOKUP(X$2,'TIS Site Config'!$A$4:$AQ$51,3,FALSE)&lt;&gt;"Soft",
          IF(
             AND(VLOOKUP(X$2,'TIS Site Config'!$A$3:$AQ$51,22,FALSE)="Combined",
                        VLOOKUP(X$2,'TIS Site Config'!$A$3:$AQ$51,6,FALSE)="Non-heated"),
                              1,0),0)</f>
        <v>0</v>
      </c>
      <c r="Y75" s="222">
        <f>IF(VLOOKUP(Y$2,'TIS Site Config'!$A$4:$AQ$51,3,FALSE)&lt;&gt;"Soft",
          IF(
             AND(VLOOKUP(Y$2,'TIS Site Config'!$A$3:$AQ$51,22,FALSE)="Combined",
                        VLOOKUP(Y$2,'TIS Site Config'!$A$3:$AQ$51,6,FALSE)="Non-heated"),
                              1,0),0)</f>
        <v>0</v>
      </c>
      <c r="Z75" s="136">
        <f>IF(VLOOKUP(Z$2,'TIS Site Config'!$A$4:$AQ$51,3,FALSE)&lt;&gt;"Soft",
          IF(
             AND(VLOOKUP(Z$2,'TIS Site Config'!$A$3:$AQ$51,22,FALSE)="Combined",
                        VLOOKUP(Z$2,'TIS Site Config'!$A$3:$AQ$51,6,FALSE)="Non-heated"),
                              1,0),0)</f>
        <v>0</v>
      </c>
      <c r="AA75" s="21">
        <f>IF(VLOOKUP(AA$2,'TIS Site Config'!$A$4:$AQ$51,3,FALSE)&lt;&gt;"Soft",
          IF(
             AND(VLOOKUP(AA$2,'TIS Site Config'!$A$3:$AQ$51,22,FALSE)="Combined",
                        VLOOKUP(AA$2,'TIS Site Config'!$A$3:$AQ$51,6,FALSE)="Non-heated"),
                              1,0),0)</f>
        <v>0</v>
      </c>
      <c r="AB75" s="222">
        <f>IF(VLOOKUP(AB$2,'TIS Site Config'!$A$4:$AQ$51,3,FALSE)&lt;&gt;"Soft",
          IF(
             AND(VLOOKUP(AB$2,'TIS Site Config'!$A$3:$AQ$51,22,FALSE)="Combined",
                        VLOOKUP(AB$2,'TIS Site Config'!$A$3:$AQ$51,6,FALSE)="Non-heated"),
                              1,0),0)</f>
        <v>0</v>
      </c>
      <c r="AC75" s="21">
        <f>IF(VLOOKUP(AC$2,'TIS Site Config'!$A$4:$AQ$51,3,FALSE)&lt;&gt;"Soft",
          IF(
             AND(VLOOKUP(AC$2,'TIS Site Config'!$A$3:$AQ$51,22,FALSE)="Combined",
                        VLOOKUP(AC$2,'TIS Site Config'!$A$3:$AQ$51,6,FALSE)="Non-heated"),
                              1,0),0)</f>
        <v>0</v>
      </c>
      <c r="AD75" s="223">
        <f>IF(VLOOKUP(AD$2,'TIS Site Config'!$A$4:$AQ$51,3,FALSE)&lt;&gt;"Soft",
          IF(
             AND(VLOOKUP(AD$2,'TIS Site Config'!$A$3:$AQ$51,22,FALSE)="Combined",
                        VLOOKUP(AD$2,'TIS Site Config'!$A$3:$AQ$51,6,FALSE)="Non-heated"),
                              1,0),0)</f>
        <v>0</v>
      </c>
      <c r="AE75" s="223">
        <f>IF(VLOOKUP(AE$2,'TIS Site Config'!$A$4:$AQ$51,3,FALSE)&lt;&gt;"Soft",
          IF(
             AND(VLOOKUP(AE$2,'TIS Site Config'!$A$3:$AQ$51,22,FALSE)="Combined",
                        VLOOKUP(AE$2,'TIS Site Config'!$A$3:$AQ$51,6,FALSE)="Non-heated"),
                              1,0),0)</f>
        <v>0</v>
      </c>
      <c r="AF75" s="16">
        <f>IF(VLOOKUP(AF$2,'TIS Site Config'!$A$4:$AQ$51,3,FALSE)&lt;&gt;"Soft",
          IF(
             AND(VLOOKUP(AF$2,'TIS Site Config'!$A$3:$AQ$51,22,FALSE)="Combined",
                        VLOOKUP(AF$2,'TIS Site Config'!$A$3:$AQ$51,6,FALSE)="Non-heated"),
                              1,0),0)</f>
        <v>1</v>
      </c>
      <c r="AG75" s="21">
        <f>IF(VLOOKUP(AG$2,'TIS Site Config'!$A$4:$AQ$51,3,FALSE)&lt;&gt;"Soft",
          IF(
             AND(VLOOKUP(AG$2,'TIS Site Config'!$A$3:$AQ$51,22,FALSE)="Combined",
                        VLOOKUP(AG$2,'TIS Site Config'!$A$3:$AQ$51,6,FALSE)="Non-heated"),
                              1,0),0)</f>
        <v>1</v>
      </c>
      <c r="AH75" s="222">
        <f>IF(VLOOKUP(AH$2,'TIS Site Config'!$A$4:$AQ$51,3,FALSE)&lt;&gt;"Soft",
          IF(
             AND(VLOOKUP(AH$2,'TIS Site Config'!$A$3:$AQ$51,22,FALSE)="Combined",
                        VLOOKUP(AH$2,'TIS Site Config'!$A$3:$AQ$51,6,FALSE)="Non-heated"),
                              1,0),0)</f>
        <v>1</v>
      </c>
      <c r="AI75" s="136">
        <f>IF(VLOOKUP(AI$2,'TIS Site Config'!$A$4:$AQ$51,3,FALSE)&lt;&gt;"Soft",
          IF(
             AND(VLOOKUP(AI$2,'TIS Site Config'!$A$3:$AQ$51,22,FALSE)="Combined",
                        VLOOKUP(AI$2,'TIS Site Config'!$A$3:$AQ$51,6,FALSE)="Non-heated"),
                              1,0),0)</f>
        <v>0</v>
      </c>
      <c r="AJ75" s="21">
        <f>IF(VLOOKUP(AJ$2,'TIS Site Config'!$A$4:$AQ$51,3,FALSE)&lt;&gt;"Soft",
          IF(
             AND(VLOOKUP(AJ$2,'TIS Site Config'!$A$3:$AQ$51,22,FALSE)="Combined",
                        VLOOKUP(AJ$2,'TIS Site Config'!$A$3:$AQ$51,6,FALSE)="Non-heated"),
                              1,0),0)</f>
        <v>0</v>
      </c>
      <c r="AK75" s="222">
        <f>IF(VLOOKUP(AK$2,'TIS Site Config'!$A$4:$AQ$51,3,FALSE)&lt;&gt;"Soft",
          IF(
             AND(VLOOKUP(AK$2,'TIS Site Config'!$A$3:$AQ$51,22,FALSE)="Combined",
                        VLOOKUP(AK$2,'TIS Site Config'!$A$3:$AQ$51,6,FALSE)="Non-heated"),
                              1,0),0)</f>
        <v>0</v>
      </c>
      <c r="AL75" s="136">
        <f>IF(VLOOKUP(AL$2,'TIS Site Config'!$A$4:$AQ$51,3,FALSE)&lt;&gt;"Soft",
          IF(
             AND(VLOOKUP(AL$2,'TIS Site Config'!$A$3:$AQ$51,22,FALSE)="Combined",
                        VLOOKUP(AL$2,'TIS Site Config'!$A$3:$AQ$51,6,FALSE)="Non-heated"),
                              1,0),0)</f>
        <v>0</v>
      </c>
      <c r="AM75" s="21">
        <f>IF(VLOOKUP(AM$2,'TIS Site Config'!$A$4:$AQ$51,3,FALSE)&lt;&gt;"Soft",
          IF(
             AND(VLOOKUP(AM$2,'TIS Site Config'!$A$3:$AQ$51,22,FALSE)="Combined",
                        VLOOKUP(AM$2,'TIS Site Config'!$A$3:$AQ$51,6,FALSE)="Non-heated"),
                              1,0),0)</f>
        <v>0</v>
      </c>
      <c r="AN75" s="222">
        <f>IF(VLOOKUP(AN$2,'TIS Site Config'!$A$4:$AQ$51,3,FALSE)&lt;&gt;"Soft",
          IF(
             AND(VLOOKUP(AN$2,'TIS Site Config'!$A$3:$AQ$51,22,FALSE)="Combined",
                        VLOOKUP(AN$2,'TIS Site Config'!$A$3:$AQ$51,6,FALSE)="Non-heated"),
                              1,0),0)</f>
        <v>0</v>
      </c>
      <c r="AO75" s="136">
        <f>IF(VLOOKUP(AO$2,'TIS Site Config'!$A$4:$AQ$51,3,FALSE)&lt;&gt;"Soft",
          IF(
             AND(VLOOKUP(AO$2,'TIS Site Config'!$A$3:$AQ$51,22,FALSE)="Combined",
                        VLOOKUP(AO$2,'TIS Site Config'!$A$3:$AQ$51,6,FALSE)="Non-heated"),
                              1,0),0)</f>
        <v>0</v>
      </c>
      <c r="AP75" s="21">
        <f>IF(VLOOKUP(AP$2,'TIS Site Config'!$A$4:$AQ$51,3,FALSE)&lt;&gt;"Soft",
          IF(
             AND(VLOOKUP(AP$2,'TIS Site Config'!$A$3:$AQ$51,22,FALSE)="Combined",
                        VLOOKUP(AP$2,'TIS Site Config'!$A$3:$AQ$51,6,FALSE)="Non-heated"),
                              1,0),0)</f>
        <v>0</v>
      </c>
      <c r="AQ75" s="136">
        <f>IF(VLOOKUP(AQ$2,'TIS Site Config'!$A$4:$AQ$51,3,FALSE)&lt;&gt;"Soft",
          IF(
             AND(VLOOKUP(AQ$2,'TIS Site Config'!$A$3:$AQ$51,22,FALSE)="Combined",
                        VLOOKUP(AQ$2,'TIS Site Config'!$A$3:$AQ$51,6,FALSE)="Non-heated"),
                              1,0),0)</f>
        <v>0</v>
      </c>
      <c r="AR75" s="136">
        <f>IF(VLOOKUP(AR$2,'TIS Site Config'!$A$4:$AQ$51,3,FALSE)&lt;&gt;"Soft",
          IF(
             AND(VLOOKUP(AR$2,'TIS Site Config'!$A$3:$AQ$51,22,FALSE)="Combined",
                        VLOOKUP(AR$2,'TIS Site Config'!$A$3:$AQ$51,6,FALSE)="Non-heated"),
                              1,0),0)</f>
        <v>0</v>
      </c>
      <c r="AS75" s="21">
        <f>IF(VLOOKUP(AS$2,'TIS Site Config'!$A$4:$AQ$51,3,FALSE)&lt;&gt;"Soft",
          IF(
             AND(VLOOKUP(AS$2,'TIS Site Config'!$A$3:$AQ$51,22,FALSE)="Combined",
                        VLOOKUP(AS$2,'TIS Site Config'!$A$3:$AQ$51,6,FALSE)="Non-heated"),
                              1,0),0)</f>
        <v>0</v>
      </c>
      <c r="AT75" s="136">
        <f>IF(VLOOKUP(AT$2,'TIS Site Config'!$A$4:$AQ$51,3,FALSE)&lt;&gt;"Soft",
          IF(
             AND(VLOOKUP(AT$2,'TIS Site Config'!$A$3:$AQ$51,22,FALSE)="Combined",
                        VLOOKUP(AT$2,'TIS Site Config'!$A$3:$AQ$51,6,FALSE)="Non-heated"),
                              1,0),0)</f>
        <v>1</v>
      </c>
      <c r="AU75" s="21">
        <f>IF(VLOOKUP(AU$2,'TIS Site Config'!$A$4:$AQ$51,3,FALSE)&lt;&gt;"Soft",
          IF(
             AND(VLOOKUP(AU$2,'TIS Site Config'!$A$3:$AQ$51,22,FALSE)="Combined",
                        VLOOKUP(AU$2,'TIS Site Config'!$A$3:$AQ$51,6,FALSE)="Non-heated"),
                              1,0),0)</f>
        <v>1</v>
      </c>
      <c r="AV75" s="136">
        <f>IF(VLOOKUP(AV$2,'TIS Site Config'!$A$4:$AQ$51,3,FALSE)&lt;&gt;"Soft",
          IF(
             AND(VLOOKUP(AV$2,'TIS Site Config'!$A$3:$AQ$51,22,FALSE)="Combined",
                        VLOOKUP(AV$2,'TIS Site Config'!$A$3:$AQ$51,6,FALSE)="Non-heated"),
                              1,0),0)</f>
        <v>0</v>
      </c>
      <c r="AW75" s="136">
        <f>IF(VLOOKUP(AW$2,'TIS Site Config'!$A$4:$AQ$51,3,FALSE)&lt;&gt;"Soft",
          IF(
             AND(VLOOKUP(AW$2,'TIS Site Config'!$A$3:$AQ$51,22,FALSE)="Combined",
                        VLOOKUP(AW$2,'TIS Site Config'!$A$3:$AQ$51,6,FALSE)="Non-heated"),
                              1,0),0)</f>
        <v>0</v>
      </c>
      <c r="AX75" s="222">
        <f>IF(VLOOKUP(AX$2,'TIS Site Config'!$A$4:$AQ$51,3,FALSE)&lt;&gt;"Soft",
          IF(
             AND(VLOOKUP(AX$2,'TIS Site Config'!$A$3:$AQ$51,22,FALSE)="Combined",
                        VLOOKUP(AX$2,'TIS Site Config'!$A$3:$AQ$51,6,FALSE)="Non-heated"),
                              1,0),0)</f>
        <v>0</v>
      </c>
      <c r="AY75" s="136">
        <f>IF(VLOOKUP(AY$2,'TIS Site Config'!$A$4:$AQ$51,3,FALSE)&lt;&gt;"Soft",
          IF(
             AND(VLOOKUP(AY$2,'TIS Site Config'!$A$3:$AQ$51,22,FALSE)="Combined",
                        VLOOKUP(AY$2,'TIS Site Config'!$A$3:$AQ$51,6,FALSE)="Non-heated"),
                              1,0),0)</f>
        <v>0</v>
      </c>
      <c r="AZ75" s="21">
        <f>IF(VLOOKUP(AZ$2,'TIS Site Config'!$A$4:$AQ$51,3,FALSE)&lt;&gt;"Soft",
          IF(
             AND(VLOOKUP(AZ$2,'TIS Site Config'!$A$3:$AQ$51,22,FALSE)="Combined",
                        VLOOKUP(AZ$2,'TIS Site Config'!$A$3:$AQ$51,6,FALSE)="Non-heated"),
                              1,0),0)</f>
        <v>0</v>
      </c>
      <c r="BA75" s="223">
        <f>IF(VLOOKUP(BA$2,'TIS Site Config'!$A$4:$AQ$51,3,FALSE)&lt;&gt;"Soft",
          IF(
             AND(VLOOKUP(BA$2,'TIS Site Config'!$A$3:$AQ$51,22,FALSE)="Combined",
                        VLOOKUP(BA$2,'TIS Site Config'!$A$3:$AQ$51,6,FALSE)="Non-heated"),
                              1,0),0)</f>
        <v>0</v>
      </c>
      <c r="BB75" s="136">
        <f>IF(VLOOKUP(BB$2,'TIS Site Config'!$A$4:$AQ$51,3,FALSE)&lt;&gt;"Soft",
          IF(
             AND(VLOOKUP(BB$2,'TIS Site Config'!$A$3:$AQ$51,22,FALSE)="Combined",
                        VLOOKUP(BB$2,'TIS Site Config'!$A$3:$AQ$51,6,FALSE)="Non-heated"),
                              1,0),0)</f>
        <v>0</v>
      </c>
      <c r="BC75" s="222">
        <f>IF(VLOOKUP(BC$2,'TIS Site Config'!$A$4:$AQ$51,3,FALSE)&lt;&gt;"Soft",
          IF(
             AND(VLOOKUP(BC$2,'TIS Site Config'!$A$3:$AQ$51,22,FALSE)="Combined",
                        VLOOKUP(BC$2,'TIS Site Config'!$A$3:$AQ$51,6,FALSE)="Non-heated"),
                              1,0),0)</f>
        <v>0</v>
      </c>
      <c r="BD75" s="136">
        <f>IF(VLOOKUP(BD$2,'TIS Site Config'!$A$4:$AQ$51,3,FALSE)&lt;&gt;"Soft",
          IF(
             AND(VLOOKUP(BD$2,'TIS Site Config'!$A$3:$AQ$51,22,FALSE)="Combined",
                        VLOOKUP(BD$2,'TIS Site Config'!$A$3:$AQ$51,6,FALSE)="Non-heated"),
                              1,0),0)</f>
        <v>0</v>
      </c>
      <c r="BE75" s="21">
        <f>IF(VLOOKUP(BE$2,'TIS Site Config'!$A$4:$AQ$51,3,FALSE)&lt;&gt;"Soft",
          IF(
             AND(VLOOKUP(BE$2,'TIS Site Config'!$A$3:$AQ$51,22,FALSE)="Combined",
                        VLOOKUP(BE$2,'TIS Site Config'!$A$3:$AQ$51,6,FALSE)="Non-heated"),
                              1,0),0)</f>
        <v>0</v>
      </c>
      <c r="BF75" s="222">
        <f>IF(VLOOKUP(BF$2,'TIS Site Config'!$A$4:$AQ$51,3,FALSE)&lt;&gt;"Soft",
          IF(
             AND(VLOOKUP(BF$2,'TIS Site Config'!$A$3:$AQ$51,22,FALSE)="Combined",
                        VLOOKUP(BF$2,'TIS Site Config'!$A$3:$AQ$51,6,FALSE)="Non-heated"),
                              1,0),0)</f>
        <v>0</v>
      </c>
      <c r="BG75" s="62">
        <f>IF(VLOOKUP(BG$2,'TIS Site Config'!$A$4:$AQ$51,3,FALSE)&lt;&gt;"Soft",
          IF(
             AND(VLOOKUP(BG$2,'TIS Site Config'!$A$3:$AQ$51,22,FALSE)="Combined",
                        VLOOKUP(BG$2,'TIS Site Config'!$A$3:$AQ$51,6,FALSE)="Non-heated"),
                              1,0),0)</f>
        <v>1</v>
      </c>
      <c r="BH75" s="62">
        <f>IF(VLOOKUP(BH$2,'TIS Site Config'!$A$4:$AQ$51,3,FALSE)&lt;&gt;"Soft",
          IF(
             AND(VLOOKUP(BH$2,'TIS Site Config'!$A$3:$AQ$51,22,FALSE)="Combined",
                        VLOOKUP(BH$2,'TIS Site Config'!$A$3:$AQ$51,6,FALSE)="Non-heated"),
                              1,0),0)</f>
        <v>0</v>
      </c>
      <c r="BK75" s="3">
        <v>5</v>
      </c>
      <c r="BL75" s="950" t="b">
        <f t="shared" si="6"/>
        <v>0</v>
      </c>
      <c r="BO75" s="950"/>
    </row>
    <row r="76" spans="1:67" s="44" customFormat="1" x14ac:dyDescent="0.25">
      <c r="A76" s="1366"/>
      <c r="B76" s="1372"/>
      <c r="C76" s="82" t="s">
        <v>163</v>
      </c>
      <c r="D76" s="97">
        <v>1</v>
      </c>
      <c r="E76" s="114" t="s">
        <v>314</v>
      </c>
      <c r="F76" s="253">
        <f t="shared" si="5"/>
        <v>30</v>
      </c>
      <c r="G76" s="456"/>
      <c r="H76" s="457"/>
      <c r="I76" s="457"/>
      <c r="J76" s="457"/>
      <c r="K76" s="458"/>
      <c r="L76" s="493"/>
      <c r="M76" s="141">
        <f>IF(VLOOKUP(M$2,'TIS Site Config'!$A$4:$AQ$51,3,FALSE)&lt;&gt;"Soft",
          IF(
             AND(VLOOKUP(M$2,'TIS Site Config'!$A$3:$AQ$51,22,FALSE)="Combined",
                        VLOOKUP(M$2,'TIS Site Config'!$A$3:$AQ$51,6,FALSE)="Heated"),
                              1,0),0)</f>
        <v>1</v>
      </c>
      <c r="N76" s="250">
        <f>IF(VLOOKUP(N$2,'TIS Site Config'!$A$4:$AQ$51,3,FALSE)&lt;&gt;"Soft",
          IF(
             AND(VLOOKUP(N$2,'TIS Site Config'!$A$3:$AQ$51,22,FALSE)="Combined",
                        VLOOKUP(N$2,'TIS Site Config'!$A$3:$AQ$51,6,FALSE)="Heated"),
                              1,0),0)</f>
        <v>1</v>
      </c>
      <c r="O76" s="255">
        <f>IF(VLOOKUP(O$2,'TIS Site Config'!$A$4:$AQ$51,3,FALSE)&lt;&gt;"Soft",
          IF(
             AND(VLOOKUP(O$2,'TIS Site Config'!$A$3:$AQ$51,22,FALSE)="Combined",
                        VLOOKUP(O$2,'TIS Site Config'!$A$3:$AQ$51,6,FALSE)="Heated"),
                              1,0),0)</f>
        <v>1</v>
      </c>
      <c r="P76" s="299">
        <f>IF(VLOOKUP(P$2,'TIS Site Config'!$A$4:$AQ$51,3,FALSE)&lt;&gt;"Soft",
          IF(
             AND(VLOOKUP(P$2,'TIS Site Config'!$A$3:$AQ$51,22,FALSE)="Combined",
                        VLOOKUP(P$2,'TIS Site Config'!$A$3:$AQ$51,6,FALSE)="Heated"),
                              1,0),0)</f>
        <v>1</v>
      </c>
      <c r="Q76" s="250">
        <f>IF(VLOOKUP(Q$2,'TIS Site Config'!$A$4:$AQ$51,3,FALSE)&lt;&gt;"Soft",
          IF(
             AND(VLOOKUP(Q$2,'TIS Site Config'!$A$3:$AQ$51,22,FALSE)="Combined",
                        VLOOKUP(Q$2,'TIS Site Config'!$A$3:$AQ$51,6,FALSE)="Heated"),
                              1,0),0)</f>
        <v>1</v>
      </c>
      <c r="R76" s="141">
        <f>IF(VLOOKUP(R$2,'TIS Site Config'!$A$4:$AQ$51,3,FALSE)&lt;&gt;"Soft",
          IF(
             AND(VLOOKUP(R$2,'TIS Site Config'!$A$3:$AQ$51,22,FALSE)="Combined",
                        VLOOKUP(R$2,'TIS Site Config'!$A$3:$AQ$51,6,FALSE)="Heated"),
                              1,0),0)</f>
        <v>0</v>
      </c>
      <c r="S76" s="299">
        <f>IF(VLOOKUP(S$2,'TIS Site Config'!$A$4:$AQ$51,3,FALSE)&lt;&gt;"Soft",
          IF(
             AND(VLOOKUP(S$2,'TIS Site Config'!$A$3:$AQ$51,22,FALSE)="Combined",
                        VLOOKUP(S$2,'TIS Site Config'!$A$3:$AQ$51,6,FALSE)="Heated"),
                              1,0),0)</f>
        <v>0</v>
      </c>
      <c r="T76" s="250">
        <f>IF(VLOOKUP(T$2,'TIS Site Config'!$A$4:$AQ$51,3,FALSE)&lt;&gt;"Soft",
          IF(
             AND(VLOOKUP(T$2,'TIS Site Config'!$A$3:$AQ$51,22,FALSE)="Combined",
                        VLOOKUP(T$2,'TIS Site Config'!$A$3:$AQ$51,6,FALSE)="Heated"),
                              1,0),0)</f>
        <v>0</v>
      </c>
      <c r="U76" s="141">
        <f>IF(VLOOKUP(U$2,'TIS Site Config'!$A$4:$AQ$51,3,FALSE)&lt;&gt;"Soft",
          IF(
             AND(VLOOKUP(U$2,'TIS Site Config'!$A$3:$AQ$51,22,FALSE)="Combined",
                        VLOOKUP(U$2,'TIS Site Config'!$A$3:$AQ$51,6,FALSE)="Heated"),
                              1,0),0)</f>
        <v>0</v>
      </c>
      <c r="V76" s="250">
        <f>IF(VLOOKUP(V$2,'TIS Site Config'!$A$4:$AQ$51,3,FALSE)&lt;&gt;"Soft",
          IF(
             AND(VLOOKUP(V$2,'TIS Site Config'!$A$3:$AQ$51,22,FALSE)="Combined",
                        VLOOKUP(V$2,'TIS Site Config'!$A$3:$AQ$51,6,FALSE)="Heated"),
                              1,0),0)</f>
        <v>0</v>
      </c>
      <c r="W76" s="254">
        <f>IF(VLOOKUP(W$2,'TIS Site Config'!$A$4:$AQ$51,3,FALSE)&lt;&gt;"Soft",
          IF(
             AND(VLOOKUP(W$2,'TIS Site Config'!$A$3:$AQ$51,22,FALSE)="Combined",
                        VLOOKUP(W$2,'TIS Site Config'!$A$3:$AQ$51,6,FALSE)="Heated"),
                              1,0),0)</f>
        <v>1</v>
      </c>
      <c r="X76" s="299">
        <f>IF(VLOOKUP(X$2,'TIS Site Config'!$A$4:$AQ$51,3,FALSE)&lt;&gt;"Soft",
          IF(
             AND(VLOOKUP(X$2,'TIS Site Config'!$A$3:$AQ$51,22,FALSE)="Combined",
                        VLOOKUP(X$2,'TIS Site Config'!$A$3:$AQ$51,6,FALSE)="Heated"),
                              1,0),0)</f>
        <v>1</v>
      </c>
      <c r="Y76" s="250">
        <f>IF(VLOOKUP(Y$2,'TIS Site Config'!$A$4:$AQ$51,3,FALSE)&lt;&gt;"Soft",
          IF(
             AND(VLOOKUP(Y$2,'TIS Site Config'!$A$3:$AQ$51,22,FALSE)="Combined",
                        VLOOKUP(Y$2,'TIS Site Config'!$A$3:$AQ$51,6,FALSE)="Heated"),
                              1,0),0)</f>
        <v>1</v>
      </c>
      <c r="Z76" s="141">
        <f>IF(VLOOKUP(Z$2,'TIS Site Config'!$A$4:$AQ$51,3,FALSE)&lt;&gt;"Soft",
          IF(
             AND(VLOOKUP(Z$2,'TIS Site Config'!$A$3:$AQ$51,22,FALSE)="Combined",
                        VLOOKUP(Z$2,'TIS Site Config'!$A$3:$AQ$51,6,FALSE)="Heated"),
                              1,0),0)</f>
        <v>1</v>
      </c>
      <c r="AA76" s="299">
        <f>IF(VLOOKUP(AA$2,'TIS Site Config'!$A$4:$AQ$51,3,FALSE)&lt;&gt;"Soft",
          IF(
             AND(VLOOKUP(AA$2,'TIS Site Config'!$A$3:$AQ$51,22,FALSE)="Combined",
                        VLOOKUP(AA$2,'TIS Site Config'!$A$3:$AQ$51,6,FALSE)="Heated"),
                              1,0),0)</f>
        <v>1</v>
      </c>
      <c r="AB76" s="250">
        <f>IF(VLOOKUP(AB$2,'TIS Site Config'!$A$4:$AQ$51,3,FALSE)&lt;&gt;"Soft",
          IF(
             AND(VLOOKUP(AB$2,'TIS Site Config'!$A$3:$AQ$51,22,FALSE)="Combined",
                        VLOOKUP(AB$2,'TIS Site Config'!$A$3:$AQ$51,6,FALSE)="Heated"),
                              1,0),0)</f>
        <v>1</v>
      </c>
      <c r="AC76" s="299">
        <f>IF(VLOOKUP(AC$2,'TIS Site Config'!$A$4:$AQ$51,3,FALSE)&lt;&gt;"Soft",
          IF(
             AND(VLOOKUP(AC$2,'TIS Site Config'!$A$3:$AQ$51,22,FALSE)="Combined",
                        VLOOKUP(AC$2,'TIS Site Config'!$A$3:$AQ$51,6,FALSE)="Heated"),
                              1,0),0)</f>
        <v>1</v>
      </c>
      <c r="AD76" s="251">
        <f>IF(VLOOKUP(AD$2,'TIS Site Config'!$A$4:$AQ$51,3,FALSE)&lt;&gt;"Soft",
          IF(
             AND(VLOOKUP(AD$2,'TIS Site Config'!$A$3:$AQ$51,22,FALSE)="Combined",
                        VLOOKUP(AD$2,'TIS Site Config'!$A$3:$AQ$51,6,FALSE)="Heated"),
                              1,0),0)</f>
        <v>1</v>
      </c>
      <c r="AE76" s="251">
        <f>IF(VLOOKUP(AE$2,'TIS Site Config'!$A$4:$AQ$51,3,FALSE)&lt;&gt;"Soft",
          IF(
             AND(VLOOKUP(AE$2,'TIS Site Config'!$A$3:$AQ$51,22,FALSE)="Combined",
                        VLOOKUP(AE$2,'TIS Site Config'!$A$3:$AQ$51,6,FALSE)="Heated"),
                              1,0),0)</f>
        <v>1</v>
      </c>
      <c r="AF76" s="252">
        <f>IF(VLOOKUP(AF$2,'TIS Site Config'!$A$4:$AQ$51,3,FALSE)&lt;&gt;"Soft",
          IF(
             AND(VLOOKUP(AF$2,'TIS Site Config'!$A$3:$AQ$51,22,FALSE)="Combined",
                        VLOOKUP(AF$2,'TIS Site Config'!$A$3:$AQ$51,6,FALSE)="Heated"),
                              1,0),0)</f>
        <v>0</v>
      </c>
      <c r="AG76" s="299">
        <f>IF(VLOOKUP(AG$2,'TIS Site Config'!$A$4:$AQ$51,3,FALSE)&lt;&gt;"Soft",
          IF(
             AND(VLOOKUP(AG$2,'TIS Site Config'!$A$3:$AQ$51,22,FALSE)="Combined",
                        VLOOKUP(AG$2,'TIS Site Config'!$A$3:$AQ$51,6,FALSE)="Heated"),
                              1,0),0)</f>
        <v>0</v>
      </c>
      <c r="AH76" s="250">
        <f>IF(VLOOKUP(AH$2,'TIS Site Config'!$A$4:$AQ$51,3,FALSE)&lt;&gt;"Soft",
          IF(
             AND(VLOOKUP(AH$2,'TIS Site Config'!$A$3:$AQ$51,22,FALSE)="Combined",
                        VLOOKUP(AH$2,'TIS Site Config'!$A$3:$AQ$51,6,FALSE)="Heated"),
                              1,0),0)</f>
        <v>0</v>
      </c>
      <c r="AI76" s="141">
        <f>IF(VLOOKUP(AI$2,'TIS Site Config'!$A$4:$AQ$51,3,FALSE)&lt;&gt;"Soft",
          IF(
             AND(VLOOKUP(AI$2,'TIS Site Config'!$A$3:$AQ$51,22,FALSE)="Combined",
                        VLOOKUP(AI$2,'TIS Site Config'!$A$3:$AQ$51,6,FALSE)="Heated"),
                              1,0),0)</f>
        <v>1</v>
      </c>
      <c r="AJ76" s="299">
        <f>IF(VLOOKUP(AJ$2,'TIS Site Config'!$A$4:$AQ$51,3,FALSE)&lt;&gt;"Soft",
          IF(
             AND(VLOOKUP(AJ$2,'TIS Site Config'!$A$3:$AQ$51,22,FALSE)="Combined",
                        VLOOKUP(AJ$2,'TIS Site Config'!$A$3:$AQ$51,6,FALSE)="Heated"),
                              1,0),0)</f>
        <v>1</v>
      </c>
      <c r="AK76" s="250">
        <f>IF(VLOOKUP(AK$2,'TIS Site Config'!$A$4:$AQ$51,3,FALSE)&lt;&gt;"Soft",
          IF(
             AND(VLOOKUP(AK$2,'TIS Site Config'!$A$3:$AQ$51,22,FALSE)="Combined",
                        VLOOKUP(AK$2,'TIS Site Config'!$A$3:$AQ$51,6,FALSE)="Heated"),
                              1,0),0)</f>
        <v>1</v>
      </c>
      <c r="AL76" s="141">
        <f>IF(VLOOKUP(AL$2,'TIS Site Config'!$A$4:$AQ$51,3,FALSE)&lt;&gt;"Soft",
          IF(
             AND(VLOOKUP(AL$2,'TIS Site Config'!$A$3:$AQ$51,22,FALSE)="Combined",
                        VLOOKUP(AL$2,'TIS Site Config'!$A$3:$AQ$51,6,FALSE)="Heated"),
                              1,0),0)</f>
        <v>1</v>
      </c>
      <c r="AM76" s="299">
        <f>IF(VLOOKUP(AM$2,'TIS Site Config'!$A$4:$AQ$51,3,FALSE)&lt;&gt;"Soft",
          IF(
             AND(VLOOKUP(AM$2,'TIS Site Config'!$A$3:$AQ$51,22,FALSE)="Combined",
                        VLOOKUP(AM$2,'TIS Site Config'!$A$3:$AQ$51,6,FALSE)="Heated"),
                              1,0),0)</f>
        <v>1</v>
      </c>
      <c r="AN76" s="250">
        <f>IF(VLOOKUP(AN$2,'TIS Site Config'!$A$4:$AQ$51,3,FALSE)&lt;&gt;"Soft",
          IF(
             AND(VLOOKUP(AN$2,'TIS Site Config'!$A$3:$AQ$51,22,FALSE)="Combined",
                        VLOOKUP(AN$2,'TIS Site Config'!$A$3:$AQ$51,6,FALSE)="Heated"),
                              1,0),0)</f>
        <v>1</v>
      </c>
      <c r="AO76" s="141">
        <f>IF(VLOOKUP(AO$2,'TIS Site Config'!$A$4:$AQ$51,3,FALSE)&lt;&gt;"Soft",
          IF(
             AND(VLOOKUP(AO$2,'TIS Site Config'!$A$3:$AQ$51,22,FALSE)="Combined",
                        VLOOKUP(AO$2,'TIS Site Config'!$A$3:$AQ$51,6,FALSE)="Heated"),
                              1,0),0)</f>
        <v>1</v>
      </c>
      <c r="AP76" s="299">
        <f>IF(VLOOKUP(AP$2,'TIS Site Config'!$A$4:$AQ$51,3,FALSE)&lt;&gt;"Soft",
          IF(
             AND(VLOOKUP(AP$2,'TIS Site Config'!$A$3:$AQ$51,22,FALSE)="Combined",
                        VLOOKUP(AP$2,'TIS Site Config'!$A$3:$AQ$51,6,FALSE)="Heated"),
                              1,0),0)</f>
        <v>1</v>
      </c>
      <c r="AQ76" s="141">
        <f>IF(VLOOKUP(AQ$2,'TIS Site Config'!$A$4:$AQ$51,3,FALSE)&lt;&gt;"Soft",
          IF(
             AND(VLOOKUP(AQ$2,'TIS Site Config'!$A$3:$AQ$51,22,FALSE)="Combined",
                        VLOOKUP(AQ$2,'TIS Site Config'!$A$3:$AQ$51,6,FALSE)="Heated"),
                              1,0),0)</f>
        <v>1</v>
      </c>
      <c r="AR76" s="141">
        <f>IF(VLOOKUP(AR$2,'TIS Site Config'!$A$4:$AQ$51,3,FALSE)&lt;&gt;"Soft",
          IF(
             AND(VLOOKUP(AR$2,'TIS Site Config'!$A$3:$AQ$51,22,FALSE)="Combined",
                        VLOOKUP(AR$2,'TIS Site Config'!$A$3:$AQ$51,6,FALSE)="Heated"),
                              1,0),0)</f>
        <v>0</v>
      </c>
      <c r="AS76" s="299">
        <f>IF(VLOOKUP(AS$2,'TIS Site Config'!$A$4:$AQ$51,3,FALSE)&lt;&gt;"Soft",
          IF(
             AND(VLOOKUP(AS$2,'TIS Site Config'!$A$3:$AQ$51,22,FALSE)="Combined",
                        VLOOKUP(AS$2,'TIS Site Config'!$A$3:$AQ$51,6,FALSE)="Heated"),
                              1,0),0)</f>
        <v>1</v>
      </c>
      <c r="AT76" s="141">
        <f>IF(VLOOKUP(AT$2,'TIS Site Config'!$A$4:$AQ$51,3,FALSE)&lt;&gt;"Soft",
          IF(
             AND(VLOOKUP(AT$2,'TIS Site Config'!$A$3:$AQ$51,22,FALSE)="Combined",
                        VLOOKUP(AT$2,'TIS Site Config'!$A$3:$AQ$51,6,FALSE)="Heated"),
                              1,0),0)</f>
        <v>0</v>
      </c>
      <c r="AU76" s="299">
        <f>IF(VLOOKUP(AU$2,'TIS Site Config'!$A$4:$AQ$51,3,FALSE)&lt;&gt;"Soft",
          IF(
             AND(VLOOKUP(AU$2,'TIS Site Config'!$A$3:$AQ$51,22,FALSE)="Combined",
                        VLOOKUP(AU$2,'TIS Site Config'!$A$3:$AQ$51,6,FALSE)="Heated"),
                              1,0),0)</f>
        <v>0</v>
      </c>
      <c r="AV76" s="141">
        <f>IF(VLOOKUP(AV$2,'TIS Site Config'!$A$4:$AQ$51,3,FALSE)&lt;&gt;"Soft",
          IF(
             AND(VLOOKUP(AV$2,'TIS Site Config'!$A$3:$AQ$51,22,FALSE)="Combined",
                        VLOOKUP(AV$2,'TIS Site Config'!$A$3:$AQ$51,6,FALSE)="Heated"),
                              1,0),0)</f>
        <v>1</v>
      </c>
      <c r="AW76" s="141">
        <f>IF(VLOOKUP(AW$2,'TIS Site Config'!$A$4:$AQ$51,3,FALSE)&lt;&gt;"Soft",
          IF(
             AND(VLOOKUP(AW$2,'TIS Site Config'!$A$3:$AQ$51,22,FALSE)="Combined",
                        VLOOKUP(AW$2,'TIS Site Config'!$A$3:$AQ$51,6,FALSE)="Heated"),
                              1,0),0)</f>
        <v>1</v>
      </c>
      <c r="AX76" s="250">
        <f>IF(VLOOKUP(AX$2,'TIS Site Config'!$A$4:$AQ$51,3,FALSE)&lt;&gt;"Soft",
          IF(
             AND(VLOOKUP(AX$2,'TIS Site Config'!$A$3:$AQ$51,22,FALSE)="Combined",
                        VLOOKUP(AX$2,'TIS Site Config'!$A$3:$AQ$51,6,FALSE)="Heated"),
                              1,0),0)</f>
        <v>1</v>
      </c>
      <c r="AY76" s="141">
        <f>IF(VLOOKUP(AY$2,'TIS Site Config'!$A$4:$AQ$51,3,FALSE)&lt;&gt;"Soft",
          IF(
             AND(VLOOKUP(AY$2,'TIS Site Config'!$A$3:$AQ$51,22,FALSE)="Combined",
                        VLOOKUP(AY$2,'TIS Site Config'!$A$3:$AQ$51,6,FALSE)="Heated"),
                              1,0),0)</f>
        <v>1</v>
      </c>
      <c r="AZ76" s="299">
        <f>IF(VLOOKUP(AZ$2,'TIS Site Config'!$A$4:$AQ$51,3,FALSE)&lt;&gt;"Soft",
          IF(
             AND(VLOOKUP(AZ$2,'TIS Site Config'!$A$3:$AQ$51,22,FALSE)="Combined",
                        VLOOKUP(AZ$2,'TIS Site Config'!$A$3:$AQ$51,6,FALSE)="Heated"),
                              1,0),0)</f>
        <v>1</v>
      </c>
      <c r="BA76" s="251">
        <f>IF(VLOOKUP(BA$2,'TIS Site Config'!$A$4:$AQ$51,3,FALSE)&lt;&gt;"Soft",
          IF(
             AND(VLOOKUP(BA$2,'TIS Site Config'!$A$3:$AQ$51,22,FALSE)="Combined",
                        VLOOKUP(BA$2,'TIS Site Config'!$A$3:$AQ$51,6,FALSE)="Heated"),
                              1,0),0)</f>
        <v>1</v>
      </c>
      <c r="BB76" s="141">
        <f>IF(VLOOKUP(BB$2,'TIS Site Config'!$A$4:$AQ$51,3,FALSE)&lt;&gt;"Soft",
          IF(
             AND(VLOOKUP(BB$2,'TIS Site Config'!$A$3:$AQ$51,22,FALSE)="Combined",
                        VLOOKUP(BB$2,'TIS Site Config'!$A$3:$AQ$51,6,FALSE)="Heated"),
                              1,0),0)</f>
        <v>0</v>
      </c>
      <c r="BC76" s="250">
        <f>IF(VLOOKUP(BC$2,'TIS Site Config'!$A$4:$AQ$51,3,FALSE)&lt;&gt;"Soft",
          IF(
             AND(VLOOKUP(BC$2,'TIS Site Config'!$A$3:$AQ$51,22,FALSE)="Combined",
                        VLOOKUP(BC$2,'TIS Site Config'!$A$3:$AQ$51,6,FALSE)="Heated"),
                              1,0),0)</f>
        <v>0</v>
      </c>
      <c r="BD76" s="141">
        <f>IF(VLOOKUP(BD$2,'TIS Site Config'!$A$4:$AQ$51,3,FALSE)&lt;&gt;"Soft",
          IF(
             AND(VLOOKUP(BD$2,'TIS Site Config'!$A$3:$AQ$51,22,FALSE)="Combined",
                        VLOOKUP(BD$2,'TIS Site Config'!$A$3:$AQ$51,6,FALSE)="Heated"),
                              1,0),0)</f>
        <v>0</v>
      </c>
      <c r="BE76" s="299">
        <f>IF(VLOOKUP(BE$2,'TIS Site Config'!$A$4:$AQ$51,3,FALSE)&lt;&gt;"Soft",
          IF(
             AND(VLOOKUP(BE$2,'TIS Site Config'!$A$3:$AQ$51,22,FALSE)="Combined",
                        VLOOKUP(BE$2,'TIS Site Config'!$A$3:$AQ$51,6,FALSE)="Heated"),
                              1,0),0)</f>
        <v>0</v>
      </c>
      <c r="BF76" s="250">
        <f>IF(VLOOKUP(BF$2,'TIS Site Config'!$A$4:$AQ$51,3,FALSE)&lt;&gt;"Soft",
          IF(
             AND(VLOOKUP(BF$2,'TIS Site Config'!$A$3:$AQ$51,22,FALSE)="Combined",
                        VLOOKUP(BF$2,'TIS Site Config'!$A$3:$AQ$51,6,FALSE)="Heated"),
                              1,0),0)</f>
        <v>0</v>
      </c>
      <c r="BG76" s="253">
        <f>IF(VLOOKUP(BG$2,'TIS Site Config'!$A$4:$AQ$51,3,FALSE)&lt;&gt;"Soft",
          IF(
             AND(VLOOKUP(BG$2,'TIS Site Config'!$A$3:$AQ$51,22,FALSE)="Combined",
                        VLOOKUP(BG$2,'TIS Site Config'!$A$3:$AQ$51,6,FALSE)="Heated"),
                              1,0),0)</f>
        <v>0</v>
      </c>
      <c r="BH76" s="253">
        <f>IF(VLOOKUP(BH$2,'TIS Site Config'!$A$4:$AQ$51,3,FALSE)&lt;&gt;"Soft",
          IF(
             AND(VLOOKUP(BH$2,'TIS Site Config'!$A$3:$AQ$51,22,FALSE)="Combined",
                        VLOOKUP(BH$2,'TIS Site Config'!$A$3:$AQ$51,6,FALSE)="Heated"),
                              1,0),0)</f>
        <v>0</v>
      </c>
      <c r="BK76" s="44">
        <v>17</v>
      </c>
      <c r="BL76" s="950" t="b">
        <f t="shared" si="6"/>
        <v>0</v>
      </c>
      <c r="BO76" s="950"/>
    </row>
    <row r="77" spans="1:67" s="44" customFormat="1" x14ac:dyDescent="0.25">
      <c r="A77" s="1366"/>
      <c r="B77" s="1372"/>
      <c r="C77" s="82" t="s">
        <v>485</v>
      </c>
      <c r="D77" s="97">
        <v>4</v>
      </c>
      <c r="E77" s="114" t="s">
        <v>483</v>
      </c>
      <c r="F77" s="253">
        <f t="shared" si="5"/>
        <v>0</v>
      </c>
      <c r="G77" s="456"/>
      <c r="H77" s="457"/>
      <c r="I77" s="457">
        <v>1</v>
      </c>
      <c r="J77" s="457"/>
      <c r="K77" s="458"/>
      <c r="L77" s="493"/>
      <c r="M77" s="141">
        <f>IF(VLOOKUP(M$2,'TIS Site Config'!$A$4:$AQ$51,3,FALSE)&lt;&gt;"Soft",
          IF(
             AND(VLOOKUP(M$2,'TIS Site Config'!$A$3:$AQ$51,22,FALSE)="Split",
                        VLOOKUP(M$2,'TIS Site Config'!$A$3:$AQ$51,6,FALSE)="Extreme Heated"),
                              1,0),0)</f>
        <v>0</v>
      </c>
      <c r="N77" s="250">
        <f>IF(VLOOKUP(N$2,'TIS Site Config'!$A$4:$AQ$51,3,FALSE)&lt;&gt;"Soft",
          IF(
             AND(VLOOKUP(N$2,'TIS Site Config'!$A$3:$AQ$51,22,FALSE)="Split",
                        VLOOKUP(N$2,'TIS Site Config'!$A$3:$AQ$51,6,FALSE)="Extreme Heated"),
                              1,0),0)</f>
        <v>0</v>
      </c>
      <c r="O77" s="255">
        <f>IF(VLOOKUP(O$2,'TIS Site Config'!$A$4:$AQ$51,3,FALSE)&lt;&gt;"Soft",
          IF(
             AND(VLOOKUP(O$2,'TIS Site Config'!$A$3:$AQ$51,22,FALSE)="Split",
                        VLOOKUP(O$2,'TIS Site Config'!$A$3:$AQ$51,6,FALSE)="Extreme Heated"),
                              1,0),0)</f>
        <v>0</v>
      </c>
      <c r="P77" s="299">
        <f>IF(VLOOKUP(P$2,'TIS Site Config'!$A$4:$AQ$51,3,FALSE)&lt;&gt;"Soft",
          IF(
             AND(VLOOKUP(P$2,'TIS Site Config'!$A$3:$AQ$51,22,FALSE)="Split",
                        VLOOKUP(P$2,'TIS Site Config'!$A$3:$AQ$51,6,FALSE)="Extreme Heated"),
                              1,0),0)</f>
        <v>0</v>
      </c>
      <c r="Q77" s="250">
        <f>IF(VLOOKUP(Q$2,'TIS Site Config'!$A$4:$AQ$51,3,FALSE)&lt;&gt;"Soft",
          IF(
             AND(VLOOKUP(Q$2,'TIS Site Config'!$A$3:$AQ$51,22,FALSE)="Split",
                        VLOOKUP(Q$2,'TIS Site Config'!$A$3:$AQ$51,6,FALSE)="Extreme Heated"),
                              1,0),0)</f>
        <v>0</v>
      </c>
      <c r="R77" s="141">
        <f>IF(VLOOKUP(R$2,'TIS Site Config'!$A$4:$AQ$51,3,FALSE)&lt;&gt;"Soft",
          IF(
             AND(VLOOKUP(R$2,'TIS Site Config'!$A$3:$AQ$51,22,FALSE)="Split",
                        VLOOKUP(R$2,'TIS Site Config'!$A$3:$AQ$51,6,FALSE)="Extreme Heated"),
                              1,0),0)</f>
        <v>0</v>
      </c>
      <c r="S77" s="299">
        <f>IF(VLOOKUP(S$2,'TIS Site Config'!$A$4:$AQ$51,3,FALSE)&lt;&gt;"Soft",
          IF(
             AND(VLOOKUP(S$2,'TIS Site Config'!$A$3:$AQ$51,22,FALSE)="Split",
                        VLOOKUP(S$2,'TIS Site Config'!$A$3:$AQ$51,6,FALSE)="Extreme Heated"),
                              1,0),0)</f>
        <v>0</v>
      </c>
      <c r="T77" s="250">
        <f>IF(VLOOKUP(T$2,'TIS Site Config'!$A$4:$AQ$51,3,FALSE)&lt;&gt;"Soft",
          IF(
             AND(VLOOKUP(T$2,'TIS Site Config'!$A$3:$AQ$51,22,FALSE)="Split",
                        VLOOKUP(T$2,'TIS Site Config'!$A$3:$AQ$51,6,FALSE)="Extreme Heated"),
                              1,0),0)</f>
        <v>0</v>
      </c>
      <c r="U77" s="141">
        <f>IF(VLOOKUP(U$2,'TIS Site Config'!$A$4:$AQ$51,3,FALSE)&lt;&gt;"Soft",
          IF(
             AND(VLOOKUP(U$2,'TIS Site Config'!$A$3:$AQ$51,22,FALSE)="Split",
                        VLOOKUP(U$2,'TIS Site Config'!$A$3:$AQ$51,6,FALSE)="Extreme Heated"),
                              1,0),0)</f>
        <v>0</v>
      </c>
      <c r="V77" s="250">
        <f>IF(VLOOKUP(V$2,'TIS Site Config'!$A$4:$AQ$51,3,FALSE)&lt;&gt;"Soft",
          IF(
             AND(VLOOKUP(V$2,'TIS Site Config'!$A$3:$AQ$51,22,FALSE)="Split",
                        VLOOKUP(V$2,'TIS Site Config'!$A$3:$AQ$51,6,FALSE)="Extreme Heated"),
                              1,0),0)</f>
        <v>0</v>
      </c>
      <c r="W77" s="254">
        <f>IF(VLOOKUP(W$2,'TIS Site Config'!$A$4:$AQ$51,3,FALSE)&lt;&gt;"Soft",
          IF(
             AND(VLOOKUP(W$2,'TIS Site Config'!$A$3:$AQ$51,22,FALSE)="Split",
                        VLOOKUP(W$2,'TIS Site Config'!$A$3:$AQ$51,6,FALSE)="Extreme Heated"),
                              1,0),0)</f>
        <v>0</v>
      </c>
      <c r="X77" s="299">
        <f>IF(VLOOKUP(X$2,'TIS Site Config'!$A$4:$AQ$51,3,FALSE)&lt;&gt;"Soft",
          IF(
             AND(VLOOKUP(X$2,'TIS Site Config'!$A$3:$AQ$51,22,FALSE)="Split",
                        VLOOKUP(X$2,'TIS Site Config'!$A$3:$AQ$51,6,FALSE)="Extreme Heated"),
                              1,0),0)</f>
        <v>0</v>
      </c>
      <c r="Y77" s="250">
        <f>IF(VLOOKUP(Y$2,'TIS Site Config'!$A$4:$AQ$51,3,FALSE)&lt;&gt;"Soft",
          IF(
             AND(VLOOKUP(Y$2,'TIS Site Config'!$A$3:$AQ$51,22,FALSE)="Split",
                        VLOOKUP(Y$2,'TIS Site Config'!$A$3:$AQ$51,6,FALSE)="Extreme Heated"),
                              1,0),0)</f>
        <v>0</v>
      </c>
      <c r="Z77" s="141">
        <f>IF(VLOOKUP(Z$2,'TIS Site Config'!$A$4:$AQ$51,3,FALSE)&lt;&gt;"Soft",
          IF(
             AND(VLOOKUP(Z$2,'TIS Site Config'!$A$3:$AQ$51,22,FALSE)="Split",
                        VLOOKUP(Z$2,'TIS Site Config'!$A$3:$AQ$51,6,FALSE)="Extreme Heated"),
                              1,0),0)</f>
        <v>0</v>
      </c>
      <c r="AA77" s="299">
        <f>IF(VLOOKUP(AA$2,'TIS Site Config'!$A$4:$AQ$51,3,FALSE)&lt;&gt;"Soft",
          IF(
             AND(VLOOKUP(AA$2,'TIS Site Config'!$A$3:$AQ$51,22,FALSE)="Split",
                        VLOOKUP(AA$2,'TIS Site Config'!$A$3:$AQ$51,6,FALSE)="Extreme Heated"),
                              1,0),0)</f>
        <v>0</v>
      </c>
      <c r="AB77" s="250">
        <f>IF(VLOOKUP(AB$2,'TIS Site Config'!$A$4:$AQ$51,3,FALSE)&lt;&gt;"Soft",
          IF(
             AND(VLOOKUP(AB$2,'TIS Site Config'!$A$3:$AQ$51,22,FALSE)="Split",
                        VLOOKUP(AB$2,'TIS Site Config'!$A$3:$AQ$51,6,FALSE)="Extreme Heated"),
                              1,0),0)</f>
        <v>0</v>
      </c>
      <c r="AC77" s="299">
        <f>IF(VLOOKUP(AC$2,'TIS Site Config'!$A$4:$AQ$51,3,FALSE)&lt;&gt;"Soft",
          IF(
             AND(VLOOKUP(AC$2,'TIS Site Config'!$A$3:$AQ$51,22,FALSE)="Split",
                        VLOOKUP(AC$2,'TIS Site Config'!$A$3:$AQ$51,6,FALSE)="Extreme Heated"),
                              1,0),0)</f>
        <v>0</v>
      </c>
      <c r="AD77" s="251">
        <f>IF(VLOOKUP(AD$2,'TIS Site Config'!$A$4:$AQ$51,3,FALSE)&lt;&gt;"Soft",
          IF(
             AND(VLOOKUP(AD$2,'TIS Site Config'!$A$3:$AQ$51,22,FALSE)="Split",
                        VLOOKUP(AD$2,'TIS Site Config'!$A$3:$AQ$51,6,FALSE)="Extreme Heated"),
                              1,0),0)</f>
        <v>0</v>
      </c>
      <c r="AE77" s="251">
        <f>IF(VLOOKUP(AE$2,'TIS Site Config'!$A$4:$AQ$51,3,FALSE)&lt;&gt;"Soft",
          IF(
             AND(VLOOKUP(AE$2,'TIS Site Config'!$A$3:$AQ$51,22,FALSE)="Split",
                        VLOOKUP(AE$2,'TIS Site Config'!$A$3:$AQ$51,6,FALSE)="Extreme Heated"),
                              1,0),0)</f>
        <v>0</v>
      </c>
      <c r="AF77" s="252">
        <f>IF(VLOOKUP(AF$2,'TIS Site Config'!$A$4:$AQ$51,3,FALSE)&lt;&gt;"Soft",
          IF(
             AND(VLOOKUP(AF$2,'TIS Site Config'!$A$3:$AQ$51,22,FALSE)="Split",
                        VLOOKUP(AF$2,'TIS Site Config'!$A$3:$AQ$51,6,FALSE)="Extreme Heated"),
                              1,0),0)</f>
        <v>0</v>
      </c>
      <c r="AG77" s="299">
        <f>IF(VLOOKUP(AG$2,'TIS Site Config'!$A$4:$AQ$51,3,FALSE)&lt;&gt;"Soft",
          IF(
             AND(VLOOKUP(AG$2,'TIS Site Config'!$A$3:$AQ$51,22,FALSE)="Split",
                        VLOOKUP(AG$2,'TIS Site Config'!$A$3:$AQ$51,6,FALSE)="Extreme Heated"),
                              1,0),0)</f>
        <v>0</v>
      </c>
      <c r="AH77" s="250">
        <f>IF(VLOOKUP(AH$2,'TIS Site Config'!$A$4:$AQ$51,3,FALSE)&lt;&gt;"Soft",
          IF(
             AND(VLOOKUP(AH$2,'TIS Site Config'!$A$3:$AQ$51,22,FALSE)="Split",
                        VLOOKUP(AH$2,'TIS Site Config'!$A$3:$AQ$51,6,FALSE)="Extreme Heated"),
                              1,0),0)</f>
        <v>0</v>
      </c>
      <c r="AI77" s="141">
        <f>IF(VLOOKUP(AI$2,'TIS Site Config'!$A$4:$AQ$51,3,FALSE)&lt;&gt;"Soft",
          IF(
             AND(VLOOKUP(AI$2,'TIS Site Config'!$A$3:$AQ$51,22,FALSE)="Split",
                        VLOOKUP(AI$2,'TIS Site Config'!$A$3:$AQ$51,6,FALSE)="Extreme Heated"),
                              1,0),0)</f>
        <v>0</v>
      </c>
      <c r="AJ77" s="299">
        <f>IF(VLOOKUP(AJ$2,'TIS Site Config'!$A$4:$AQ$51,3,FALSE)&lt;&gt;"Soft",
          IF(
             AND(VLOOKUP(AJ$2,'TIS Site Config'!$A$3:$AQ$51,22,FALSE)="Split",
                        VLOOKUP(AJ$2,'TIS Site Config'!$A$3:$AQ$51,6,FALSE)="Extreme Heated"),
                              1,0),0)</f>
        <v>0</v>
      </c>
      <c r="AK77" s="250">
        <f>IF(VLOOKUP(AK$2,'TIS Site Config'!$A$4:$AQ$51,3,FALSE)&lt;&gt;"Soft",
          IF(
             AND(VLOOKUP(AK$2,'TIS Site Config'!$A$3:$AQ$51,22,FALSE)="Split",
                        VLOOKUP(AK$2,'TIS Site Config'!$A$3:$AQ$51,6,FALSE)="Extreme Heated"),
                              1,0),0)</f>
        <v>0</v>
      </c>
      <c r="AL77" s="141">
        <f>IF(VLOOKUP(AL$2,'TIS Site Config'!$A$4:$AQ$51,3,FALSE)&lt;&gt;"Soft",
          IF(
             AND(VLOOKUP(AL$2,'TIS Site Config'!$A$3:$AQ$51,22,FALSE)="Split",
                        VLOOKUP(AL$2,'TIS Site Config'!$A$3:$AQ$51,6,FALSE)="Extreme Heated"),
                              1,0),0)</f>
        <v>0</v>
      </c>
      <c r="AM77" s="299">
        <f>IF(VLOOKUP(AM$2,'TIS Site Config'!$A$4:$AQ$51,3,FALSE)&lt;&gt;"Soft",
          IF(
             AND(VLOOKUP(AM$2,'TIS Site Config'!$A$3:$AQ$51,22,FALSE)="Split",
                        VLOOKUP(AM$2,'TIS Site Config'!$A$3:$AQ$51,6,FALSE)="Extreme Heated"),
                              1,0),0)</f>
        <v>0</v>
      </c>
      <c r="AN77" s="250">
        <f>IF(VLOOKUP(AN$2,'TIS Site Config'!$A$4:$AQ$51,3,FALSE)&lt;&gt;"Soft",
          IF(
             AND(VLOOKUP(AN$2,'TIS Site Config'!$A$3:$AQ$51,22,FALSE)="Split",
                        VLOOKUP(AN$2,'TIS Site Config'!$A$3:$AQ$51,6,FALSE)="Extreme Heated"),
                              1,0),0)</f>
        <v>0</v>
      </c>
      <c r="AO77" s="141">
        <f>IF(VLOOKUP(AO$2,'TIS Site Config'!$A$4:$AQ$51,3,FALSE)&lt;&gt;"Soft",
          IF(
             AND(VLOOKUP(AO$2,'TIS Site Config'!$A$3:$AQ$51,22,FALSE)="Split",
                        VLOOKUP(AO$2,'TIS Site Config'!$A$3:$AQ$51,6,FALSE)="Extreme Heated"),
                              1,0),0)</f>
        <v>0</v>
      </c>
      <c r="AP77" s="299">
        <f>IF(VLOOKUP(AP$2,'TIS Site Config'!$A$4:$AQ$51,3,FALSE)&lt;&gt;"Soft",
          IF(
             AND(VLOOKUP(AP$2,'TIS Site Config'!$A$3:$AQ$51,22,FALSE)="Split",
                        VLOOKUP(AP$2,'TIS Site Config'!$A$3:$AQ$51,6,FALSE)="Extreme Heated"),
                              1,0),0)</f>
        <v>0</v>
      </c>
      <c r="AQ77" s="141">
        <f>IF(VLOOKUP(AQ$2,'TIS Site Config'!$A$4:$AQ$51,3,FALSE)&lt;&gt;"Soft",
          IF(
             AND(VLOOKUP(AQ$2,'TIS Site Config'!$A$3:$AQ$51,22,FALSE)="Split",
                        VLOOKUP(AQ$2,'TIS Site Config'!$A$3:$AQ$51,6,FALSE)="Extreme Heated"),
                              1,0),0)</f>
        <v>0</v>
      </c>
      <c r="AR77" s="141">
        <f>IF(VLOOKUP(AR$2,'TIS Site Config'!$A$4:$AQ$51,3,FALSE)&lt;&gt;"Soft",
          IF(
             AND(VLOOKUP(AR$2,'TIS Site Config'!$A$3:$AQ$51,22,FALSE)="Split",
                        VLOOKUP(AR$2,'TIS Site Config'!$A$3:$AQ$51,6,FALSE)="Extreme Heated"),
                              1,0),0)</f>
        <v>0</v>
      </c>
      <c r="AS77" s="299">
        <f>IF(VLOOKUP(AS$2,'TIS Site Config'!$A$4:$AQ$51,3,FALSE)&lt;&gt;"Soft",
          IF(
             AND(VLOOKUP(AS$2,'TIS Site Config'!$A$3:$AQ$51,22,FALSE)="Split",
                        VLOOKUP(AS$2,'TIS Site Config'!$A$3:$AQ$51,6,FALSE)="Extreme Heated"),
                              1,0),0)</f>
        <v>0</v>
      </c>
      <c r="AT77" s="141">
        <f>IF(VLOOKUP(AT$2,'TIS Site Config'!$A$4:$AQ$51,3,FALSE)&lt;&gt;"Soft",
          IF(
             AND(VLOOKUP(AT$2,'TIS Site Config'!$A$3:$AQ$51,22,FALSE)="Split",
                        VLOOKUP(AT$2,'TIS Site Config'!$A$3:$AQ$51,6,FALSE)="Extreme Heated"),
                              1,0),0)</f>
        <v>0</v>
      </c>
      <c r="AU77" s="299">
        <f>IF(VLOOKUP(AU$2,'TIS Site Config'!$A$4:$AQ$51,3,FALSE)&lt;&gt;"Soft",
          IF(
             AND(VLOOKUP(AU$2,'TIS Site Config'!$A$3:$AQ$51,22,FALSE)="Split",
                        VLOOKUP(AU$2,'TIS Site Config'!$A$3:$AQ$51,6,FALSE)="Extreme Heated"),
                              1,0),0)</f>
        <v>0</v>
      </c>
      <c r="AV77" s="141">
        <f>IF(VLOOKUP(AV$2,'TIS Site Config'!$A$4:$AQ$51,3,FALSE)&lt;&gt;"Soft",
          IF(
             AND(VLOOKUP(AV$2,'TIS Site Config'!$A$3:$AQ$51,22,FALSE)="Split",
                        VLOOKUP(AV$2,'TIS Site Config'!$A$3:$AQ$51,6,FALSE)="Extreme Heated"),
                              1,0),0)</f>
        <v>0</v>
      </c>
      <c r="AW77" s="141">
        <f>IF(VLOOKUP(AW$2,'TIS Site Config'!$A$4:$AQ$51,3,FALSE)&lt;&gt;"Soft",
          IF(
             AND(VLOOKUP(AW$2,'TIS Site Config'!$A$3:$AQ$51,22,FALSE)="Split",
                        VLOOKUP(AW$2,'TIS Site Config'!$A$3:$AQ$51,6,FALSE)="Extreme Heated"),
                              1,0),0)</f>
        <v>0</v>
      </c>
      <c r="AX77" s="250">
        <f>IF(VLOOKUP(AX$2,'TIS Site Config'!$A$4:$AQ$51,3,FALSE)&lt;&gt;"Soft",
          IF(
             AND(VLOOKUP(AX$2,'TIS Site Config'!$A$3:$AQ$51,22,FALSE)="Split",
                        VLOOKUP(AX$2,'TIS Site Config'!$A$3:$AQ$51,6,FALSE)="Extreme Heated"),
                              1,0),0)</f>
        <v>0</v>
      </c>
      <c r="AY77" s="141">
        <f>IF(VLOOKUP(AY$2,'TIS Site Config'!$A$4:$AQ$51,3,FALSE)&lt;&gt;"Soft",
          IF(
             AND(VLOOKUP(AY$2,'TIS Site Config'!$A$3:$AQ$51,22,FALSE)="Split",
                        VLOOKUP(AY$2,'TIS Site Config'!$A$3:$AQ$51,6,FALSE)="Extreme Heated"),
                              1,0),0)</f>
        <v>0</v>
      </c>
      <c r="AZ77" s="299">
        <f>IF(VLOOKUP(AZ$2,'TIS Site Config'!$A$4:$AQ$51,3,FALSE)&lt;&gt;"Soft",
          IF(
             AND(VLOOKUP(AZ$2,'TIS Site Config'!$A$3:$AQ$51,22,FALSE)="Split",
                        VLOOKUP(AZ$2,'TIS Site Config'!$A$3:$AQ$51,6,FALSE)="Extreme Heated"),
                              1,0),0)</f>
        <v>0</v>
      </c>
      <c r="BA77" s="251">
        <f>IF(VLOOKUP(BA$2,'TIS Site Config'!$A$4:$AQ$51,3,FALSE)&lt;&gt;"Soft",
          IF(
             AND(VLOOKUP(BA$2,'TIS Site Config'!$A$3:$AQ$51,22,FALSE)="Split",
                        VLOOKUP(BA$2,'TIS Site Config'!$A$3:$AQ$51,6,FALSE)="Extreme Heated"),
                              1,0),0)</f>
        <v>0</v>
      </c>
      <c r="BB77" s="141">
        <f>IF(VLOOKUP(BB$2,'TIS Site Config'!$A$4:$AQ$51,3,FALSE)&lt;&gt;"Soft",
          IF(
             AND(VLOOKUP(BB$2,'TIS Site Config'!$A$3:$AQ$51,22,FALSE)="Split",
                        VLOOKUP(BB$2,'TIS Site Config'!$A$3:$AQ$51,6,FALSE)="Extreme Heated"),
                              1,0),0)</f>
        <v>0</v>
      </c>
      <c r="BC77" s="250">
        <f>IF(VLOOKUP(BC$2,'TIS Site Config'!$A$4:$AQ$51,3,FALSE)&lt;&gt;"Soft",
          IF(
             AND(VLOOKUP(BC$2,'TIS Site Config'!$A$3:$AQ$51,22,FALSE)="Split",
                        VLOOKUP(BC$2,'TIS Site Config'!$A$3:$AQ$51,6,FALSE)="Extreme Heated"),
                              1,0),0)</f>
        <v>0</v>
      </c>
      <c r="BD77" s="141">
        <f>IF(VLOOKUP(BD$2,'TIS Site Config'!$A$4:$AQ$51,3,FALSE)&lt;&gt;"Soft",
          IF(
             AND(VLOOKUP(BD$2,'TIS Site Config'!$A$3:$AQ$51,22,FALSE)="Split",
                        VLOOKUP(BD$2,'TIS Site Config'!$A$3:$AQ$51,6,FALSE)="Extreme Heated"),
                              1,0),0)</f>
        <v>0</v>
      </c>
      <c r="BE77" s="299">
        <f>IF(VLOOKUP(BE$2,'TIS Site Config'!$A$4:$AQ$51,3,FALSE)&lt;&gt;"Soft",
          IF(
             AND(VLOOKUP(BE$2,'TIS Site Config'!$A$3:$AQ$51,22,FALSE)="Split",
                        VLOOKUP(BE$2,'TIS Site Config'!$A$3:$AQ$51,6,FALSE)="Extreme Heated"),
                              1,0),0)</f>
        <v>0</v>
      </c>
      <c r="BF77" s="250">
        <f>IF(VLOOKUP(BF$2,'TIS Site Config'!$A$4:$AQ$51,3,FALSE)&lt;&gt;"Soft",
          IF(
             AND(VLOOKUP(BF$2,'TIS Site Config'!$A$3:$AQ$51,22,FALSE)="Split",
                        VLOOKUP(BF$2,'TIS Site Config'!$A$3:$AQ$51,6,FALSE)="Extreme Heated"),
                              1,0),0)</f>
        <v>0</v>
      </c>
      <c r="BG77" s="253">
        <f>IF(VLOOKUP(BG$2,'TIS Site Config'!$A$4:$AQ$51,3,FALSE)&lt;&gt;"Soft",
          IF(
             AND(VLOOKUP(BG$2,'TIS Site Config'!$A$3:$AQ$51,22,FALSE)="Split",
                        VLOOKUP(BG$2,'TIS Site Config'!$A$3:$AQ$51,6,FALSE)="Extreme Heated"),
                              1,0),0)</f>
        <v>0</v>
      </c>
      <c r="BH77" s="253">
        <f>IF(VLOOKUP(BH$2,'TIS Site Config'!$A$4:$AQ$51,3,FALSE)&lt;&gt;"Soft",
          IF(
             AND(VLOOKUP(BH$2,'TIS Site Config'!$A$3:$AQ$51,22,FALSE)="Split",
                        VLOOKUP(BH$2,'TIS Site Config'!$A$3:$AQ$51,6,FALSE)="Extreme Heated"),
                              1,0),0)</f>
        <v>0</v>
      </c>
      <c r="BK77" s="44">
        <v>2</v>
      </c>
      <c r="BL77" s="950" t="b">
        <f t="shared" si="6"/>
        <v>0</v>
      </c>
      <c r="BO77" s="950"/>
    </row>
    <row r="78" spans="1:67" ht="15.75" thickBot="1" x14ac:dyDescent="0.3">
      <c r="A78" s="1366"/>
      <c r="B78" s="1344"/>
      <c r="C78" s="70" t="s">
        <v>486</v>
      </c>
      <c r="D78" s="94">
        <v>4</v>
      </c>
      <c r="E78" s="110" t="s">
        <v>484</v>
      </c>
      <c r="F78" s="58">
        <f t="shared" si="5"/>
        <v>6</v>
      </c>
      <c r="G78" s="453"/>
      <c r="H78" s="454"/>
      <c r="I78" s="454"/>
      <c r="J78" s="454"/>
      <c r="K78" s="455"/>
      <c r="L78" s="492"/>
      <c r="M78" s="133">
        <f>IF(VLOOKUP(M$2,'TIS Site Config'!$A$4:$AQ$51,3,FALSE)&lt;&gt;"Soft",
          IF(
             AND(VLOOKUP(M$2,'TIS Site Config'!$A$3:$AQ$51,22,FALSE)="Combined",
                        VLOOKUP(M$2,'TIS Site Config'!$A$3:$AQ$51,6,FALSE)="Extreme Heated"),
                              1,0),0)</f>
        <v>0</v>
      </c>
      <c r="N78" s="207">
        <f>IF(VLOOKUP(N$2,'TIS Site Config'!$A$4:$AQ$51,3,FALSE)&lt;&gt;"Soft",
          IF(
             AND(VLOOKUP(N$2,'TIS Site Config'!$A$3:$AQ$51,22,FALSE)="Combined",
                        VLOOKUP(N$2,'TIS Site Config'!$A$3:$AQ$51,6,FALSE)="Extreme Heated"),
                              1,0),0)</f>
        <v>0</v>
      </c>
      <c r="O78" s="211">
        <f>IF(VLOOKUP(O$2,'TIS Site Config'!$A$4:$AQ$51,3,FALSE)&lt;&gt;"Soft",
          IF(
             AND(VLOOKUP(O$2,'TIS Site Config'!$A$3:$AQ$51,22,FALSE)="Combined",
                        VLOOKUP(O$2,'TIS Site Config'!$A$3:$AQ$51,6,FALSE)="Extreme Heated"),
                              1,0),0)</f>
        <v>0</v>
      </c>
      <c r="P78" s="206">
        <f>IF(VLOOKUP(P$2,'TIS Site Config'!$A$4:$AQ$51,3,FALSE)&lt;&gt;"Soft",
          IF(
             AND(VLOOKUP(P$2,'TIS Site Config'!$A$3:$AQ$51,22,FALSE)="Combined",
                        VLOOKUP(P$2,'TIS Site Config'!$A$3:$AQ$51,6,FALSE)="Extreme Heated"),
                              1,0),0)</f>
        <v>0</v>
      </c>
      <c r="Q78" s="207">
        <f>IF(VLOOKUP(Q$2,'TIS Site Config'!$A$4:$AQ$51,3,FALSE)&lt;&gt;"Soft",
          IF(
             AND(VLOOKUP(Q$2,'TIS Site Config'!$A$3:$AQ$51,22,FALSE)="Combined",
                        VLOOKUP(Q$2,'TIS Site Config'!$A$3:$AQ$51,6,FALSE)="Extreme Heated"),
                              1,0),0)</f>
        <v>0</v>
      </c>
      <c r="R78" s="133">
        <f>IF(VLOOKUP(R$2,'TIS Site Config'!$A$4:$AQ$51,3,FALSE)&lt;&gt;"Soft",
          IF(
             AND(VLOOKUP(R$2,'TIS Site Config'!$A$3:$AQ$51,22,FALSE)="Combined",
                        VLOOKUP(R$2,'TIS Site Config'!$A$3:$AQ$51,6,FALSE)="Extreme Heated"),
                              1,0),0)</f>
        <v>0</v>
      </c>
      <c r="S78" s="206">
        <f>IF(VLOOKUP(S$2,'TIS Site Config'!$A$4:$AQ$51,3,FALSE)&lt;&gt;"Soft",
          IF(
             AND(VLOOKUP(S$2,'TIS Site Config'!$A$3:$AQ$51,22,FALSE)="Combined",
                        VLOOKUP(S$2,'TIS Site Config'!$A$3:$AQ$51,6,FALSE)="Extreme Heated"),
                              1,0),0)</f>
        <v>0</v>
      </c>
      <c r="T78" s="207">
        <f>IF(VLOOKUP(T$2,'TIS Site Config'!$A$4:$AQ$51,3,FALSE)&lt;&gt;"Soft",
          IF(
             AND(VLOOKUP(T$2,'TIS Site Config'!$A$3:$AQ$51,22,FALSE)="Combined",
                        VLOOKUP(T$2,'TIS Site Config'!$A$3:$AQ$51,6,FALSE)="Extreme Heated"),
                              1,0),0)</f>
        <v>0</v>
      </c>
      <c r="U78" s="133">
        <f>IF(VLOOKUP(U$2,'TIS Site Config'!$A$4:$AQ$51,3,FALSE)&lt;&gt;"Soft",
          IF(
             AND(VLOOKUP(U$2,'TIS Site Config'!$A$3:$AQ$51,22,FALSE)="Combined",
                        VLOOKUP(U$2,'TIS Site Config'!$A$3:$AQ$51,6,FALSE)="Extreme Heated"),
                              1,0),0)</f>
        <v>0</v>
      </c>
      <c r="V78" s="207">
        <f>IF(VLOOKUP(V$2,'TIS Site Config'!$A$4:$AQ$51,3,FALSE)&lt;&gt;"Soft",
          IF(
             AND(VLOOKUP(V$2,'TIS Site Config'!$A$3:$AQ$51,22,FALSE)="Combined",
                        VLOOKUP(V$2,'TIS Site Config'!$A$3:$AQ$51,6,FALSE)="Extreme Heated"),
                              1,0),0)</f>
        <v>0</v>
      </c>
      <c r="W78" s="210">
        <f>IF(VLOOKUP(W$2,'TIS Site Config'!$A$4:$AQ$51,3,FALSE)&lt;&gt;"Soft",
          IF(
             AND(VLOOKUP(W$2,'TIS Site Config'!$A$3:$AQ$51,22,FALSE)="Combined",
                        VLOOKUP(W$2,'TIS Site Config'!$A$3:$AQ$51,6,FALSE)="Extreme Heated"),
                              1,0),0)</f>
        <v>0</v>
      </c>
      <c r="X78" s="206">
        <f>IF(VLOOKUP(X$2,'TIS Site Config'!$A$4:$AQ$51,3,FALSE)&lt;&gt;"Soft",
          IF(
             AND(VLOOKUP(X$2,'TIS Site Config'!$A$3:$AQ$51,22,FALSE)="Combined",
                        VLOOKUP(X$2,'TIS Site Config'!$A$3:$AQ$51,6,FALSE)="Extreme Heated"),
                              1,0),0)</f>
        <v>0</v>
      </c>
      <c r="Y78" s="207">
        <f>IF(VLOOKUP(Y$2,'TIS Site Config'!$A$4:$AQ$51,3,FALSE)&lt;&gt;"Soft",
          IF(
             AND(VLOOKUP(Y$2,'TIS Site Config'!$A$3:$AQ$51,22,FALSE)="Combined",
                        VLOOKUP(Y$2,'TIS Site Config'!$A$3:$AQ$51,6,FALSE)="Extreme Heated"),
                              1,0),0)</f>
        <v>0</v>
      </c>
      <c r="Z78" s="133">
        <f>IF(VLOOKUP(Z$2,'TIS Site Config'!$A$4:$AQ$51,3,FALSE)&lt;&gt;"Soft",
          IF(
             AND(VLOOKUP(Z$2,'TIS Site Config'!$A$3:$AQ$51,22,FALSE)="Combined",
                        VLOOKUP(Z$2,'TIS Site Config'!$A$3:$AQ$51,6,FALSE)="Extreme Heated"),
                              1,0),0)</f>
        <v>0</v>
      </c>
      <c r="AA78" s="206">
        <f>IF(VLOOKUP(AA$2,'TIS Site Config'!$A$4:$AQ$51,3,FALSE)&lt;&gt;"Soft",
          IF(
             AND(VLOOKUP(AA$2,'TIS Site Config'!$A$3:$AQ$51,22,FALSE)="Combined",
                        VLOOKUP(AA$2,'TIS Site Config'!$A$3:$AQ$51,6,FALSE)="Extreme Heated"),
                              1,0),0)</f>
        <v>0</v>
      </c>
      <c r="AB78" s="207">
        <f>IF(VLOOKUP(AB$2,'TIS Site Config'!$A$4:$AQ$51,3,FALSE)&lt;&gt;"Soft",
          IF(
             AND(VLOOKUP(AB$2,'TIS Site Config'!$A$3:$AQ$51,22,FALSE)="Combined",
                        VLOOKUP(AB$2,'TIS Site Config'!$A$3:$AQ$51,6,FALSE)="Extreme Heated"),
                              1,0),0)</f>
        <v>0</v>
      </c>
      <c r="AC78" s="206">
        <f>IF(VLOOKUP(AC$2,'TIS Site Config'!$A$4:$AQ$51,3,FALSE)&lt;&gt;"Soft",
          IF(
             AND(VLOOKUP(AC$2,'TIS Site Config'!$A$3:$AQ$51,22,FALSE)="Combined",
                        VLOOKUP(AC$2,'TIS Site Config'!$A$3:$AQ$51,6,FALSE)="Extreme Heated"),
                              1,0),0)</f>
        <v>0</v>
      </c>
      <c r="AD78" s="208">
        <f>IF(VLOOKUP(AD$2,'TIS Site Config'!$A$4:$AQ$51,3,FALSE)&lt;&gt;"Soft",
          IF(
             AND(VLOOKUP(AD$2,'TIS Site Config'!$A$3:$AQ$51,22,FALSE)="Combined",
                        VLOOKUP(AD$2,'TIS Site Config'!$A$3:$AQ$51,6,FALSE)="Extreme Heated"),
                              1,0),0)</f>
        <v>0</v>
      </c>
      <c r="AE78" s="208">
        <f>IF(VLOOKUP(AE$2,'TIS Site Config'!$A$4:$AQ$51,3,FALSE)&lt;&gt;"Soft",
          IF(
             AND(VLOOKUP(AE$2,'TIS Site Config'!$A$3:$AQ$51,22,FALSE)="Combined",
                        VLOOKUP(AE$2,'TIS Site Config'!$A$3:$AQ$51,6,FALSE)="Extreme Heated"),
                              1,0),0)</f>
        <v>0</v>
      </c>
      <c r="AF78" s="209">
        <f>IF(VLOOKUP(AF$2,'TIS Site Config'!$A$4:$AQ$51,3,FALSE)&lt;&gt;"Soft",
          IF(
             AND(VLOOKUP(AF$2,'TIS Site Config'!$A$3:$AQ$51,22,FALSE)="Combined",
                        VLOOKUP(AF$2,'TIS Site Config'!$A$3:$AQ$51,6,FALSE)="Extreme Heated"),
                              1,0),0)</f>
        <v>0</v>
      </c>
      <c r="AG78" s="206">
        <f>IF(VLOOKUP(AG$2,'TIS Site Config'!$A$4:$AQ$51,3,FALSE)&lt;&gt;"Soft",
          IF(
             AND(VLOOKUP(AG$2,'TIS Site Config'!$A$3:$AQ$51,22,FALSE)="Combined",
                        VLOOKUP(AG$2,'TIS Site Config'!$A$3:$AQ$51,6,FALSE)="Extreme Heated"),
                              1,0),0)</f>
        <v>0</v>
      </c>
      <c r="AH78" s="207">
        <f>IF(VLOOKUP(AH$2,'TIS Site Config'!$A$4:$AQ$51,3,FALSE)&lt;&gt;"Soft",
          IF(
             AND(VLOOKUP(AH$2,'TIS Site Config'!$A$3:$AQ$51,22,FALSE)="Combined",
                        VLOOKUP(AH$2,'TIS Site Config'!$A$3:$AQ$51,6,FALSE)="Extreme Heated"),
                              1,0),0)</f>
        <v>0</v>
      </c>
      <c r="AI78" s="133">
        <f>IF(VLOOKUP(AI$2,'TIS Site Config'!$A$4:$AQ$51,3,FALSE)&lt;&gt;"Soft",
          IF(
             AND(VLOOKUP(AI$2,'TIS Site Config'!$A$3:$AQ$51,22,FALSE)="Combined",
                        VLOOKUP(AI$2,'TIS Site Config'!$A$3:$AQ$51,6,FALSE)="Extreme Heated"),
                              1,0),0)</f>
        <v>0</v>
      </c>
      <c r="AJ78" s="206">
        <f>IF(VLOOKUP(AJ$2,'TIS Site Config'!$A$4:$AQ$51,3,FALSE)&lt;&gt;"Soft",
          IF(
             AND(VLOOKUP(AJ$2,'TIS Site Config'!$A$3:$AQ$51,22,FALSE)="Combined",
                        VLOOKUP(AJ$2,'TIS Site Config'!$A$3:$AQ$51,6,FALSE)="Extreme Heated"),
                              1,0),0)</f>
        <v>0</v>
      </c>
      <c r="AK78" s="207">
        <f>IF(VLOOKUP(AK$2,'TIS Site Config'!$A$4:$AQ$51,3,FALSE)&lt;&gt;"Soft",
          IF(
             AND(VLOOKUP(AK$2,'TIS Site Config'!$A$3:$AQ$51,22,FALSE)="Combined",
                        VLOOKUP(AK$2,'TIS Site Config'!$A$3:$AQ$51,6,FALSE)="Extreme Heated"),
                              1,0),0)</f>
        <v>0</v>
      </c>
      <c r="AL78" s="133">
        <f>IF(VLOOKUP(AL$2,'TIS Site Config'!$A$4:$AQ$51,3,FALSE)&lt;&gt;"Soft",
          IF(
             AND(VLOOKUP(AL$2,'TIS Site Config'!$A$3:$AQ$51,22,FALSE)="Combined",
                        VLOOKUP(AL$2,'TIS Site Config'!$A$3:$AQ$51,6,FALSE)="Extreme Heated"),
                              1,0),0)</f>
        <v>0</v>
      </c>
      <c r="AM78" s="206">
        <f>IF(VLOOKUP(AM$2,'TIS Site Config'!$A$4:$AQ$51,3,FALSE)&lt;&gt;"Soft",
          IF(
             AND(VLOOKUP(AM$2,'TIS Site Config'!$A$3:$AQ$51,22,FALSE)="Combined",
                        VLOOKUP(AM$2,'TIS Site Config'!$A$3:$AQ$51,6,FALSE)="Extreme Heated"),
                              1,0),0)</f>
        <v>0</v>
      </c>
      <c r="AN78" s="207">
        <f>IF(VLOOKUP(AN$2,'TIS Site Config'!$A$4:$AQ$51,3,FALSE)&lt;&gt;"Soft",
          IF(
             AND(VLOOKUP(AN$2,'TIS Site Config'!$A$3:$AQ$51,22,FALSE)="Combined",
                        VLOOKUP(AN$2,'TIS Site Config'!$A$3:$AQ$51,6,FALSE)="Extreme Heated"),
                              1,0),0)</f>
        <v>0</v>
      </c>
      <c r="AO78" s="133">
        <f>IF(VLOOKUP(AO$2,'TIS Site Config'!$A$4:$AQ$51,3,FALSE)&lt;&gt;"Soft",
          IF(
             AND(VLOOKUP(AO$2,'TIS Site Config'!$A$3:$AQ$51,22,FALSE)="Combined",
                        VLOOKUP(AO$2,'TIS Site Config'!$A$3:$AQ$51,6,FALSE)="Extreme Heated"),
                              1,0),0)</f>
        <v>0</v>
      </c>
      <c r="AP78" s="206">
        <f>IF(VLOOKUP(AP$2,'TIS Site Config'!$A$4:$AQ$51,3,FALSE)&lt;&gt;"Soft",
          IF(
             AND(VLOOKUP(AP$2,'TIS Site Config'!$A$3:$AQ$51,22,FALSE)="Combined",
                        VLOOKUP(AP$2,'TIS Site Config'!$A$3:$AQ$51,6,FALSE)="Extreme Heated"),
                              1,0),0)</f>
        <v>0</v>
      </c>
      <c r="AQ78" s="133">
        <f>IF(VLOOKUP(AQ$2,'TIS Site Config'!$A$4:$AQ$51,3,FALSE)&lt;&gt;"Soft",
          IF(
             AND(VLOOKUP(AQ$2,'TIS Site Config'!$A$3:$AQ$51,22,FALSE)="Combined",
                        VLOOKUP(AQ$2,'TIS Site Config'!$A$3:$AQ$51,6,FALSE)="Extreme Heated"),
                              1,0),0)</f>
        <v>0</v>
      </c>
      <c r="AR78" s="133">
        <f>IF(VLOOKUP(AR$2,'TIS Site Config'!$A$4:$AQ$51,3,FALSE)&lt;&gt;"Soft",
          IF(
             AND(VLOOKUP(AR$2,'TIS Site Config'!$A$3:$AQ$51,22,FALSE)="Combined",
                        VLOOKUP(AR$2,'TIS Site Config'!$A$3:$AQ$51,6,FALSE)="Extreme Heated"),
                              1,0),0)</f>
        <v>1</v>
      </c>
      <c r="AS78" s="206">
        <f>IF(VLOOKUP(AS$2,'TIS Site Config'!$A$4:$AQ$51,3,FALSE)&lt;&gt;"Soft",
          IF(
             AND(VLOOKUP(AS$2,'TIS Site Config'!$A$3:$AQ$51,22,FALSE)="Combined",
                        VLOOKUP(AS$2,'TIS Site Config'!$A$3:$AQ$51,6,FALSE)="Extreme Heated"),
                              1,0),0)</f>
        <v>0</v>
      </c>
      <c r="AT78" s="133">
        <f>IF(VLOOKUP(AT$2,'TIS Site Config'!$A$4:$AQ$51,3,FALSE)&lt;&gt;"Soft",
          IF(
             AND(VLOOKUP(AT$2,'TIS Site Config'!$A$3:$AQ$51,22,FALSE)="Combined",
                        VLOOKUP(AT$2,'TIS Site Config'!$A$3:$AQ$51,6,FALSE)="Extreme Heated"),
                              1,0),0)</f>
        <v>0</v>
      </c>
      <c r="AU78" s="206">
        <f>IF(VLOOKUP(AU$2,'TIS Site Config'!$A$4:$AQ$51,3,FALSE)&lt;&gt;"Soft",
          IF(
             AND(VLOOKUP(AU$2,'TIS Site Config'!$A$3:$AQ$51,22,FALSE)="Combined",
                        VLOOKUP(AU$2,'TIS Site Config'!$A$3:$AQ$51,6,FALSE)="Extreme Heated"),
                              1,0),0)</f>
        <v>0</v>
      </c>
      <c r="AV78" s="133">
        <f>IF(VLOOKUP(AV$2,'TIS Site Config'!$A$4:$AQ$51,3,FALSE)&lt;&gt;"Soft",
          IF(
             AND(VLOOKUP(AV$2,'TIS Site Config'!$A$3:$AQ$51,22,FALSE)="Combined",
                        VLOOKUP(AV$2,'TIS Site Config'!$A$3:$AQ$51,6,FALSE)="Extreme Heated"),
                              1,0),0)</f>
        <v>0</v>
      </c>
      <c r="AW78" s="133">
        <f>IF(VLOOKUP(AW$2,'TIS Site Config'!$A$4:$AQ$51,3,FALSE)&lt;&gt;"Soft",
          IF(
             AND(VLOOKUP(AW$2,'TIS Site Config'!$A$3:$AQ$51,22,FALSE)="Combined",
                        VLOOKUP(AW$2,'TIS Site Config'!$A$3:$AQ$51,6,FALSE)="Extreme Heated"),
                              1,0),0)</f>
        <v>0</v>
      </c>
      <c r="AX78" s="207">
        <f>IF(VLOOKUP(AX$2,'TIS Site Config'!$A$4:$AQ$51,3,FALSE)&lt;&gt;"Soft",
          IF(
             AND(VLOOKUP(AX$2,'TIS Site Config'!$A$3:$AQ$51,22,FALSE)="Combined",
                        VLOOKUP(AX$2,'TIS Site Config'!$A$3:$AQ$51,6,FALSE)="Extreme Heated"),
                              1,0),0)</f>
        <v>0</v>
      </c>
      <c r="AY78" s="133">
        <f>IF(VLOOKUP(AY$2,'TIS Site Config'!$A$4:$AQ$51,3,FALSE)&lt;&gt;"Soft",
          IF(
             AND(VLOOKUP(AY$2,'TIS Site Config'!$A$3:$AQ$51,22,FALSE)="Combined",
                        VLOOKUP(AY$2,'TIS Site Config'!$A$3:$AQ$51,6,FALSE)="Extreme Heated"),
                              1,0),0)</f>
        <v>0</v>
      </c>
      <c r="AZ78" s="206">
        <f>IF(VLOOKUP(AZ$2,'TIS Site Config'!$A$4:$AQ$51,3,FALSE)&lt;&gt;"Soft",
          IF(
             AND(VLOOKUP(AZ$2,'TIS Site Config'!$A$3:$AQ$51,22,FALSE)="Combined",
                        VLOOKUP(AZ$2,'TIS Site Config'!$A$3:$AQ$51,6,FALSE)="Extreme Heated"),
                              1,0),0)</f>
        <v>0</v>
      </c>
      <c r="BA78" s="208">
        <f>IF(VLOOKUP(BA$2,'TIS Site Config'!$A$4:$AQ$51,3,FALSE)&lt;&gt;"Soft",
          IF(
             AND(VLOOKUP(BA$2,'TIS Site Config'!$A$3:$AQ$51,22,FALSE)="Combined",
                        VLOOKUP(BA$2,'TIS Site Config'!$A$3:$AQ$51,6,FALSE)="Extreme Heated"),
                              1,0),0)</f>
        <v>0</v>
      </c>
      <c r="BB78" s="133">
        <f>IF(VLOOKUP(BB$2,'TIS Site Config'!$A$4:$AQ$51,3,FALSE)&lt;&gt;"Soft",
          IF(
             AND(VLOOKUP(BB$2,'TIS Site Config'!$A$3:$AQ$51,22,FALSE)="Combined",
                        VLOOKUP(BB$2,'TIS Site Config'!$A$3:$AQ$51,6,FALSE)="Extreme Heated"),
                              1,0),0)</f>
        <v>1</v>
      </c>
      <c r="BC78" s="207">
        <f>IF(VLOOKUP(BC$2,'TIS Site Config'!$A$4:$AQ$51,3,FALSE)&lt;&gt;"Soft",
          IF(
             AND(VLOOKUP(BC$2,'TIS Site Config'!$A$3:$AQ$51,22,FALSE)="Combined",
                        VLOOKUP(BC$2,'TIS Site Config'!$A$3:$AQ$51,6,FALSE)="Extreme Heated"),
                              1,0),0)</f>
        <v>1</v>
      </c>
      <c r="BD78" s="133">
        <f>IF(VLOOKUP(BD$2,'TIS Site Config'!$A$4:$AQ$51,3,FALSE)&lt;&gt;"Soft",
          IF(
             AND(VLOOKUP(BD$2,'TIS Site Config'!$A$3:$AQ$51,22,FALSE)="Combined",
                        VLOOKUP(BD$2,'TIS Site Config'!$A$3:$AQ$51,6,FALSE)="Extreme Heated"),
                              1,0),0)</f>
        <v>1</v>
      </c>
      <c r="BE78" s="206">
        <f>IF(VLOOKUP(BE$2,'TIS Site Config'!$A$4:$AQ$51,3,FALSE)&lt;&gt;"Soft",
          IF(
             AND(VLOOKUP(BE$2,'TIS Site Config'!$A$3:$AQ$51,22,FALSE)="Combined",
                        VLOOKUP(BE$2,'TIS Site Config'!$A$3:$AQ$51,6,FALSE)="Extreme Heated"),
                              1,0),0)</f>
        <v>1</v>
      </c>
      <c r="BF78" s="207">
        <f>IF(VLOOKUP(BF$2,'TIS Site Config'!$A$4:$AQ$51,3,FALSE)&lt;&gt;"Soft",
          IF(
             AND(VLOOKUP(BF$2,'TIS Site Config'!$A$3:$AQ$51,22,FALSE)="Combined",
                        VLOOKUP(BF$2,'TIS Site Config'!$A$3:$AQ$51,6,FALSE)="Extreme Heated"),
                              1,0),0)</f>
        <v>1</v>
      </c>
      <c r="BG78" s="58">
        <f>IF(VLOOKUP(BG$2,'TIS Site Config'!$A$4:$AQ$51,3,FALSE)&lt;&gt;"Soft",
          IF(
             AND(VLOOKUP(BG$2,'TIS Site Config'!$A$3:$AQ$51,22,FALSE)="Combined",
                        VLOOKUP(BG$2,'TIS Site Config'!$A$3:$AQ$51,6,FALSE)="Extreme Heated"),
                              1,0),0)</f>
        <v>0</v>
      </c>
      <c r="BH78" s="58">
        <f>IF(VLOOKUP(BH$2,'TIS Site Config'!$A$4:$AQ$51,3,FALSE)&lt;&gt;"Soft",
          IF(
             AND(VLOOKUP(BH$2,'TIS Site Config'!$A$3:$AQ$51,22,FALSE)="Combined",
                        VLOOKUP(BH$2,'TIS Site Config'!$A$3:$AQ$51,6,FALSE)="Extreme Heated"),
                              1,0),0)</f>
        <v>0</v>
      </c>
      <c r="BK78" s="3">
        <v>5</v>
      </c>
      <c r="BL78" s="950" t="b">
        <f t="shared" si="6"/>
        <v>0</v>
      </c>
      <c r="BO78" s="950"/>
    </row>
    <row r="79" spans="1:67" ht="15.75" thickTop="1" x14ac:dyDescent="0.25">
      <c r="A79" s="1366"/>
      <c r="B79" s="1342" t="s">
        <v>5</v>
      </c>
      <c r="C79" s="57" t="s">
        <v>164</v>
      </c>
      <c r="D79" s="90">
        <v>2</v>
      </c>
      <c r="E79" s="84" t="s">
        <v>278</v>
      </c>
      <c r="F79" s="60">
        <f t="shared" si="5"/>
        <v>34</v>
      </c>
      <c r="G79" s="459"/>
      <c r="H79" s="460"/>
      <c r="I79" s="460"/>
      <c r="J79" s="460"/>
      <c r="K79" s="461"/>
      <c r="L79" s="494"/>
      <c r="M79" s="134">
        <f>IF(VLOOKUP(M$2,'TIS Site Config'!$A$4:$AQ$51,3,FALSE)&lt;&gt;"Soft",
          IF(
          VLOOKUP(M$2,'TIS Site Config'!$A$3:$AQ$51,6,FALSE)="Non-heated",
             (VLOOKUP(M$2,'TIS Site Config'!$A$3:$AQ$51,17,FALSE)-2),0),0)</f>
        <v>0</v>
      </c>
      <c r="N79" s="212">
        <f>IF(VLOOKUP(N$2,'TIS Site Config'!$A$4:$AQ$51,3,FALSE)&lt;&gt;"Soft",
          IF(
          VLOOKUP(N$2,'TIS Site Config'!$A$3:$AQ$51,6,FALSE)="Non-heated",
             (VLOOKUP(N$2,'TIS Site Config'!$A$3:$AQ$51,17,FALSE)-2),0),0)</f>
        <v>0</v>
      </c>
      <c r="O79" s="215">
        <f>IF(VLOOKUP(O$2,'TIS Site Config'!$A$4:$AQ$51,3,FALSE)&lt;&gt;"Soft",
          IF(
          VLOOKUP(O$2,'TIS Site Config'!$A$3:$AQ$51,6,FALSE)="Non-heated",
             (VLOOKUP(O$2,'TIS Site Config'!$A$3:$AQ$51,17,FALSE)-2),0),0)</f>
        <v>0</v>
      </c>
      <c r="P79" s="309">
        <f>IF(VLOOKUP(P$2,'TIS Site Config'!$A$4:$AQ$51,3,FALSE)&lt;&gt;"Soft",
          IF(
          VLOOKUP(P$2,'TIS Site Config'!$A$3:$AQ$51,6,FALSE)="Non-heated",
             (VLOOKUP(P$2,'TIS Site Config'!$A$3:$AQ$51,17,FALSE)-2),0),0)</f>
        <v>0</v>
      </c>
      <c r="Q79" s="212">
        <f>IF(VLOOKUP(Q$2,'TIS Site Config'!$A$4:$AQ$51,3,FALSE)&lt;&gt;"Soft",
          IF(
          VLOOKUP(Q$2,'TIS Site Config'!$A$3:$AQ$51,6,FALSE)="Non-heated",
             (VLOOKUP(Q$2,'TIS Site Config'!$A$3:$AQ$51,17,FALSE)-2),0),0)</f>
        <v>0</v>
      </c>
      <c r="R79" s="134">
        <f>IF(VLOOKUP(R$2,'TIS Site Config'!$A$4:$AQ$51,3,FALSE)&lt;&gt;"Soft",
          IF(
          VLOOKUP(R$2,'TIS Site Config'!$A$3:$AQ$51,6,FALSE)="Non-heated",
             (VLOOKUP(R$2,'TIS Site Config'!$A$3:$AQ$51,17,FALSE)-2),0),0)</f>
        <v>4</v>
      </c>
      <c r="S79" s="309">
        <f>IF(VLOOKUP(S$2,'TIS Site Config'!$A$4:$AQ$51,3,FALSE)&lt;&gt;"Soft",
          IF(
          VLOOKUP(S$2,'TIS Site Config'!$A$3:$AQ$51,6,FALSE)="Non-heated",
             (VLOOKUP(S$2,'TIS Site Config'!$A$3:$AQ$51,17,FALSE)-2),0),0)</f>
        <v>2</v>
      </c>
      <c r="T79" s="212">
        <f>IF(VLOOKUP(T$2,'TIS Site Config'!$A$4:$AQ$51,3,FALSE)&lt;&gt;"Soft",
          IF(
          VLOOKUP(T$2,'TIS Site Config'!$A$3:$AQ$51,6,FALSE)="Non-heated",
             (VLOOKUP(T$2,'TIS Site Config'!$A$3:$AQ$51,17,FALSE)-2),0),0)</f>
        <v>4</v>
      </c>
      <c r="U79" s="134">
        <f>IF(VLOOKUP(U$2,'TIS Site Config'!$A$4:$AQ$51,3,FALSE)&lt;&gt;"Soft",
          IF(
          VLOOKUP(U$2,'TIS Site Config'!$A$3:$AQ$51,6,FALSE)="Non-heated",
             (VLOOKUP(U$2,'TIS Site Config'!$A$3:$AQ$51,17,FALSE)-2),0),0)</f>
        <v>3</v>
      </c>
      <c r="V79" s="212">
        <f>IF(VLOOKUP(V$2,'TIS Site Config'!$A$4:$AQ$51,3,FALSE)&lt;&gt;"Soft",
          IF(
          VLOOKUP(V$2,'TIS Site Config'!$A$3:$AQ$51,6,FALSE)="Non-heated",
             (VLOOKUP(V$2,'TIS Site Config'!$A$3:$AQ$51,17,FALSE)-2),0),0)</f>
        <v>2</v>
      </c>
      <c r="W79" s="214">
        <f>IF(VLOOKUP(W$2,'TIS Site Config'!$A$4:$AQ$51,3,FALSE)&lt;&gt;"Soft",
          IF(
          VLOOKUP(W$2,'TIS Site Config'!$A$3:$AQ$51,6,FALSE)="Non-heated",
             (VLOOKUP(W$2,'TIS Site Config'!$A$3:$AQ$51,17,FALSE)-2),0),0)</f>
        <v>0</v>
      </c>
      <c r="X79" s="309">
        <f>IF(VLOOKUP(X$2,'TIS Site Config'!$A$4:$AQ$51,3,FALSE)&lt;&gt;"Soft",
          IF(
          VLOOKUP(X$2,'TIS Site Config'!$A$3:$AQ$51,6,FALSE)="Non-heated",
             (VLOOKUP(X$2,'TIS Site Config'!$A$3:$AQ$51,17,FALSE)-2),0),0)</f>
        <v>0</v>
      </c>
      <c r="Y79" s="212">
        <f>IF(VLOOKUP(Y$2,'TIS Site Config'!$A$4:$AQ$51,3,FALSE)&lt;&gt;"Soft",
          IF(
          VLOOKUP(Y$2,'TIS Site Config'!$A$3:$AQ$51,6,FALSE)="Non-heated",
             (VLOOKUP(Y$2,'TIS Site Config'!$A$3:$AQ$51,17,FALSE)-2),0),0)</f>
        <v>0</v>
      </c>
      <c r="Z79" s="134">
        <f>IF(VLOOKUP(Z$2,'TIS Site Config'!$A$4:$AQ$51,3,FALSE)&lt;&gt;"Soft",
          IF(
          VLOOKUP(Z$2,'TIS Site Config'!$A$3:$AQ$51,6,FALSE)="Non-heated",
             (VLOOKUP(Z$2,'TIS Site Config'!$A$3:$AQ$51,17,FALSE)-2),0),0)</f>
        <v>0</v>
      </c>
      <c r="AA79" s="309">
        <f>IF(VLOOKUP(AA$2,'TIS Site Config'!$A$4:$AQ$51,3,FALSE)&lt;&gt;"Soft",
          IF(
          VLOOKUP(AA$2,'TIS Site Config'!$A$3:$AQ$51,6,FALSE)="Non-heated",
             (VLOOKUP(AA$2,'TIS Site Config'!$A$3:$AQ$51,17,FALSE)-2),0),0)</f>
        <v>0</v>
      </c>
      <c r="AB79" s="212">
        <f>IF(VLOOKUP(AB$2,'TIS Site Config'!$A$4:$AQ$51,3,FALSE)&lt;&gt;"Soft",
          IF(
          VLOOKUP(AB$2,'TIS Site Config'!$A$3:$AQ$51,6,FALSE)="Non-heated",
             (VLOOKUP(AB$2,'TIS Site Config'!$A$3:$AQ$51,17,FALSE)-2),0),0)</f>
        <v>0</v>
      </c>
      <c r="AC79" s="309">
        <f>IF(VLOOKUP(AC$2,'TIS Site Config'!$A$4:$AQ$51,3,FALSE)&lt;&gt;"Soft",
          IF(
          VLOOKUP(AC$2,'TIS Site Config'!$A$3:$AQ$51,6,FALSE)="Non-heated",
             (VLOOKUP(AC$2,'TIS Site Config'!$A$3:$AQ$51,17,FALSE)-2),0),0)</f>
        <v>0</v>
      </c>
      <c r="AD79" s="213">
        <f>IF(VLOOKUP(AD$2,'TIS Site Config'!$A$4:$AQ$51,3,FALSE)&lt;&gt;"Soft",
          IF(
          VLOOKUP(AD$2,'TIS Site Config'!$A$3:$AQ$51,6,FALSE)="Non-heated",
             (VLOOKUP(AD$2,'TIS Site Config'!$A$3:$AQ$51,17,FALSE)-2),0),0)</f>
        <v>0</v>
      </c>
      <c r="AE79" s="213">
        <f>IF(VLOOKUP(AE$2,'TIS Site Config'!$A$4:$AQ$51,3,FALSE)&lt;&gt;"Soft",
          IF(
          VLOOKUP(AE$2,'TIS Site Config'!$A$3:$AQ$51,6,FALSE)="Non-heated",
             (VLOOKUP(AE$2,'TIS Site Config'!$A$3:$AQ$51,17,FALSE)-2),0),0)</f>
        <v>0</v>
      </c>
      <c r="AF79" s="39">
        <f>IF(VLOOKUP(AF$2,'TIS Site Config'!$A$4:$AQ$51,3,FALSE)&lt;&gt;"Soft",
          IF(
          VLOOKUP(AF$2,'TIS Site Config'!$A$3:$AQ$51,6,FALSE)="Non-heated",
             (VLOOKUP(AF$2,'TIS Site Config'!$A$3:$AQ$51,17,FALSE)-2),0),0)</f>
        <v>3</v>
      </c>
      <c r="AG79" s="309">
        <f>IF(VLOOKUP(AG$2,'TIS Site Config'!$A$4:$AQ$51,3,FALSE)&lt;&gt;"Soft",
          IF(
          VLOOKUP(AG$2,'TIS Site Config'!$A$3:$AQ$51,6,FALSE)="Non-heated",
             (VLOOKUP(AG$2,'TIS Site Config'!$A$3:$AQ$51,17,FALSE)-2),0),0)</f>
        <v>4</v>
      </c>
      <c r="AH79" s="212">
        <f>IF(VLOOKUP(AH$2,'TIS Site Config'!$A$4:$AQ$51,3,FALSE)&lt;&gt;"Soft",
          IF(
          VLOOKUP(AH$2,'TIS Site Config'!$A$3:$AQ$51,6,FALSE)="Non-heated",
             (VLOOKUP(AH$2,'TIS Site Config'!$A$3:$AQ$51,17,FALSE)-2),0),0)</f>
        <v>4</v>
      </c>
      <c r="AI79" s="134">
        <f>IF(VLOOKUP(AI$2,'TIS Site Config'!$A$4:$AQ$51,3,FALSE)&lt;&gt;"Soft",
          IF(
          VLOOKUP(AI$2,'TIS Site Config'!$A$3:$AQ$51,6,FALSE)="Non-heated",
             (VLOOKUP(AI$2,'TIS Site Config'!$A$3:$AQ$51,17,FALSE)-2),0),0)</f>
        <v>0</v>
      </c>
      <c r="AJ79" s="309">
        <f>IF(VLOOKUP(AJ$2,'TIS Site Config'!$A$4:$AQ$51,3,FALSE)&lt;&gt;"Soft",
          IF(
          VLOOKUP(AJ$2,'TIS Site Config'!$A$3:$AQ$51,6,FALSE)="Non-heated",
             (VLOOKUP(AJ$2,'TIS Site Config'!$A$3:$AQ$51,17,FALSE)-2),0),0)</f>
        <v>0</v>
      </c>
      <c r="AK79" s="212">
        <f>IF(VLOOKUP(AK$2,'TIS Site Config'!$A$4:$AQ$51,3,FALSE)&lt;&gt;"Soft",
          IF(
          VLOOKUP(AK$2,'TIS Site Config'!$A$3:$AQ$51,6,FALSE)="Non-heated",
             (VLOOKUP(AK$2,'TIS Site Config'!$A$3:$AQ$51,17,FALSE)-2),0),0)</f>
        <v>0</v>
      </c>
      <c r="AL79" s="134">
        <f>IF(VLOOKUP(AL$2,'TIS Site Config'!$A$4:$AQ$51,3,FALSE)&lt;&gt;"Soft",
          IF(
          VLOOKUP(AL$2,'TIS Site Config'!$A$3:$AQ$51,6,FALSE)="Non-heated",
             (VLOOKUP(AL$2,'TIS Site Config'!$A$3:$AQ$51,17,FALSE)-2),0),0)</f>
        <v>0</v>
      </c>
      <c r="AM79" s="309">
        <f>IF(VLOOKUP(AM$2,'TIS Site Config'!$A$4:$AQ$51,3,FALSE)&lt;&gt;"Soft",
          IF(
          VLOOKUP(AM$2,'TIS Site Config'!$A$3:$AQ$51,6,FALSE)="Non-heated",
             (VLOOKUP(AM$2,'TIS Site Config'!$A$3:$AQ$51,17,FALSE)-2),0),0)</f>
        <v>0</v>
      </c>
      <c r="AN79" s="212">
        <f>IF(VLOOKUP(AN$2,'TIS Site Config'!$A$4:$AQ$51,3,FALSE)&lt;&gt;"Soft",
          IF(
          VLOOKUP(AN$2,'TIS Site Config'!$A$3:$AQ$51,6,FALSE)="Non-heated",
             (VLOOKUP(AN$2,'TIS Site Config'!$A$3:$AQ$51,17,FALSE)-2),0),0)</f>
        <v>0</v>
      </c>
      <c r="AO79" s="134">
        <f>IF(VLOOKUP(AO$2,'TIS Site Config'!$A$4:$AQ$51,3,FALSE)&lt;&gt;"Soft",
          IF(
          VLOOKUP(AO$2,'TIS Site Config'!$A$3:$AQ$51,6,FALSE)="Non-heated",
             (VLOOKUP(AO$2,'TIS Site Config'!$A$3:$AQ$51,17,FALSE)-2),0),0)</f>
        <v>0</v>
      </c>
      <c r="AP79" s="309">
        <f>IF(VLOOKUP(AP$2,'TIS Site Config'!$A$4:$AQ$51,3,FALSE)&lt;&gt;"Soft",
          IF(
          VLOOKUP(AP$2,'TIS Site Config'!$A$3:$AQ$51,6,FALSE)="Non-heated",
             (VLOOKUP(AP$2,'TIS Site Config'!$A$3:$AQ$51,17,FALSE)-2),0),0)</f>
        <v>0</v>
      </c>
      <c r="AQ79" s="134">
        <f>IF(VLOOKUP(AQ$2,'TIS Site Config'!$A$4:$AQ$51,3,FALSE)&lt;&gt;"Soft",
          IF(
          VLOOKUP(AQ$2,'TIS Site Config'!$A$3:$AQ$51,6,FALSE)="Non-heated",
             (VLOOKUP(AQ$2,'TIS Site Config'!$A$3:$AQ$51,17,FALSE)-2),0),0)</f>
        <v>0</v>
      </c>
      <c r="AR79" s="134">
        <f>IF(VLOOKUP(AR$2,'TIS Site Config'!$A$4:$AQ$51,3,FALSE)&lt;&gt;"Soft",
          IF(
          VLOOKUP(AR$2,'TIS Site Config'!$A$3:$AQ$51,6,FALSE)="Non-heated",
             (VLOOKUP(AR$2,'TIS Site Config'!$A$3:$AQ$51,17,FALSE)-2),0),0)</f>
        <v>0</v>
      </c>
      <c r="AS79" s="309">
        <f>IF(VLOOKUP(AS$2,'TIS Site Config'!$A$4:$AQ$51,3,FALSE)&lt;&gt;"Soft",
          IF(
          VLOOKUP(AS$2,'TIS Site Config'!$A$3:$AQ$51,6,FALSE)="Non-heated",
             (VLOOKUP(AS$2,'TIS Site Config'!$A$3:$AQ$51,17,FALSE)-2),0),0)</f>
        <v>0</v>
      </c>
      <c r="AT79" s="134">
        <f>IF(VLOOKUP(AT$2,'TIS Site Config'!$A$4:$AQ$51,3,FALSE)&lt;&gt;"Soft",
          IF(
          VLOOKUP(AT$2,'TIS Site Config'!$A$3:$AQ$51,6,FALSE)="Non-heated",
             (VLOOKUP(AT$2,'TIS Site Config'!$A$3:$AQ$51,17,FALSE)-2),0),0)</f>
        <v>2</v>
      </c>
      <c r="AU79" s="309">
        <f>IF(VLOOKUP(AU$2,'TIS Site Config'!$A$4:$AQ$51,3,FALSE)&lt;&gt;"Soft",
          IF(
          VLOOKUP(AU$2,'TIS Site Config'!$A$3:$AQ$51,6,FALSE)="Non-heated",
             (VLOOKUP(AU$2,'TIS Site Config'!$A$3:$AQ$51,17,FALSE)-2),0),0)</f>
        <v>2</v>
      </c>
      <c r="AV79" s="134">
        <f>IF(VLOOKUP(AV$2,'TIS Site Config'!$A$4:$AQ$51,3,FALSE)&lt;&gt;"Soft",
          IF(
          VLOOKUP(AV$2,'TIS Site Config'!$A$3:$AQ$51,6,FALSE)="Non-heated",
             (VLOOKUP(AV$2,'TIS Site Config'!$A$3:$AQ$51,17,FALSE)-2),0),0)</f>
        <v>0</v>
      </c>
      <c r="AW79" s="134">
        <f>IF(VLOOKUP(AW$2,'TIS Site Config'!$A$4:$AQ$51,3,FALSE)&lt;&gt;"Soft",
          IF(
          VLOOKUP(AW$2,'TIS Site Config'!$A$3:$AQ$51,6,FALSE)="Non-heated",
             (VLOOKUP(AW$2,'TIS Site Config'!$A$3:$AQ$51,17,FALSE)-2),0),0)</f>
        <v>0</v>
      </c>
      <c r="AX79" s="212">
        <f>IF(VLOOKUP(AX$2,'TIS Site Config'!$A$4:$AQ$51,3,FALSE)&lt;&gt;"Soft",
          IF(
          VLOOKUP(AX$2,'TIS Site Config'!$A$3:$AQ$51,6,FALSE)="Non-heated",
             (VLOOKUP(AX$2,'TIS Site Config'!$A$3:$AQ$51,17,FALSE)-2),0),0)</f>
        <v>0</v>
      </c>
      <c r="AY79" s="134">
        <f>IF(VLOOKUP(AY$2,'TIS Site Config'!$A$4:$AQ$51,3,FALSE)&lt;&gt;"Soft",
          IF(
          VLOOKUP(AY$2,'TIS Site Config'!$A$3:$AQ$51,6,FALSE)="Non-heated",
             (VLOOKUP(AY$2,'TIS Site Config'!$A$3:$AQ$51,17,FALSE)-2),0),0)</f>
        <v>0</v>
      </c>
      <c r="AZ79" s="309">
        <f>IF(VLOOKUP(AZ$2,'TIS Site Config'!$A$4:$AQ$51,3,FALSE)&lt;&gt;"Soft",
          IF(
          VLOOKUP(AZ$2,'TIS Site Config'!$A$3:$AQ$51,6,FALSE)="Non-heated",
             (VLOOKUP(AZ$2,'TIS Site Config'!$A$3:$AQ$51,17,FALSE)-2),0),0)</f>
        <v>0</v>
      </c>
      <c r="BA79" s="213">
        <f>IF(VLOOKUP(BA$2,'TIS Site Config'!$A$4:$AQ$51,3,FALSE)&lt;&gt;"Soft",
          IF(
          VLOOKUP(BA$2,'TIS Site Config'!$A$3:$AQ$51,6,FALSE)="Non-heated",
             (VLOOKUP(BA$2,'TIS Site Config'!$A$3:$AQ$51,17,FALSE)-2),0),0)</f>
        <v>0</v>
      </c>
      <c r="BB79" s="134">
        <f>IF(VLOOKUP(BB$2,'TIS Site Config'!$A$4:$AQ$51,3,FALSE)&lt;&gt;"Soft",
          IF(
          VLOOKUP(BB$2,'TIS Site Config'!$A$3:$AQ$51,6,FALSE)="Non-heated",
             (VLOOKUP(BB$2,'TIS Site Config'!$A$3:$AQ$51,17,FALSE)-2),0),0)</f>
        <v>0</v>
      </c>
      <c r="BC79" s="212">
        <f>IF(VLOOKUP(BC$2,'TIS Site Config'!$A$4:$AQ$51,3,FALSE)&lt;&gt;"Soft",
          IF(
          VLOOKUP(BC$2,'TIS Site Config'!$A$3:$AQ$51,6,FALSE)="Non-heated",
             (VLOOKUP(BC$2,'TIS Site Config'!$A$3:$AQ$51,17,FALSE)-2),0),0)</f>
        <v>0</v>
      </c>
      <c r="BD79" s="134">
        <f>IF(VLOOKUP(BD$2,'TIS Site Config'!$A$4:$AQ$51,3,FALSE)&lt;&gt;"Soft",
          IF(
          VLOOKUP(BD$2,'TIS Site Config'!$A$3:$AQ$51,6,FALSE)="Non-heated",
             (VLOOKUP(BD$2,'TIS Site Config'!$A$3:$AQ$51,17,FALSE)-2),0),0)</f>
        <v>0</v>
      </c>
      <c r="BE79" s="309">
        <f>IF(VLOOKUP(BE$2,'TIS Site Config'!$A$4:$AQ$51,3,FALSE)&lt;&gt;"Soft",
          IF(
          VLOOKUP(BE$2,'TIS Site Config'!$A$3:$AQ$51,6,FALSE)="Non-heated",
             (VLOOKUP(BE$2,'TIS Site Config'!$A$3:$AQ$51,17,FALSE)-2),0),0)</f>
        <v>0</v>
      </c>
      <c r="BF79" s="212">
        <f>IF(VLOOKUP(BF$2,'TIS Site Config'!$A$4:$AQ$51,3,FALSE)&lt;&gt;"Soft",
          IF(
          VLOOKUP(BF$2,'TIS Site Config'!$A$3:$AQ$51,6,FALSE)="Non-heated",
             (VLOOKUP(BF$2,'TIS Site Config'!$A$3:$AQ$51,17,FALSE)-2),0),0)</f>
        <v>0</v>
      </c>
      <c r="BG79" s="60">
        <f>IF(VLOOKUP(BG$2,'TIS Site Config'!$A$4:$AQ$51,3,FALSE)&lt;&gt;"Soft",
          IF(
          VLOOKUP(BG$2,'TIS Site Config'!$A$3:$AQ$51,6,FALSE)="Non-heated",
             (VLOOKUP(BG$2,'TIS Site Config'!$A$3:$AQ$51,17,FALSE)-2),0),0)</f>
        <v>4</v>
      </c>
      <c r="BH79" s="60">
        <f>IF(VLOOKUP(BH$2,'TIS Site Config'!$A$4:$AQ$51,3,FALSE)&lt;&gt;"Soft",
          IF(
          VLOOKUP(BH$2,'TIS Site Config'!$A$3:$AQ$51,6,FALSE)="Non-heated",
             (VLOOKUP(BH$2,'TIS Site Config'!$A$3:$AQ$51,17,FALSE)-2),0),0)</f>
        <v>0</v>
      </c>
      <c r="BK79" s="3">
        <v>40</v>
      </c>
      <c r="BL79" s="950" t="b">
        <f t="shared" si="6"/>
        <v>0</v>
      </c>
      <c r="BO79" s="950"/>
    </row>
    <row r="80" spans="1:67" x14ac:dyDescent="0.25">
      <c r="A80" s="1366"/>
      <c r="B80" s="1343"/>
      <c r="C80" s="69" t="s">
        <v>165</v>
      </c>
      <c r="D80" s="91">
        <v>2</v>
      </c>
      <c r="E80" s="85" t="s">
        <v>306</v>
      </c>
      <c r="F80" s="62">
        <f t="shared" si="5"/>
        <v>98</v>
      </c>
      <c r="G80" s="450"/>
      <c r="H80" s="451"/>
      <c r="I80" s="451"/>
      <c r="J80" s="451"/>
      <c r="K80" s="452"/>
      <c r="L80" s="491"/>
      <c r="M80" s="136">
        <f>IF(VLOOKUP(M$2,'TIS Site Config'!$A$4:$AQ$51,3,FALSE)&lt;&gt;"Soft",
          IF(
          VLOOKUP(M$2,'TIS Site Config'!$A$3:$AQ$51,6,FALSE)="Heated",
                 (VLOOKUP(M$2,'TIS Site Config'!$A$3:$AQ$51,17,FALSE)-2),0),0)</f>
        <v>4</v>
      </c>
      <c r="N80" s="222">
        <f>IF(VLOOKUP(N$2,'TIS Site Config'!$A$4:$AQ$51,3,FALSE)&lt;&gt;"Soft",
          IF(
          VLOOKUP(N$2,'TIS Site Config'!$A$3:$AQ$51,6,FALSE)="Heated",
                 (VLOOKUP(N$2,'TIS Site Config'!$A$3:$AQ$51,17,FALSE)-2),0),0)</f>
        <v>4</v>
      </c>
      <c r="O80" s="225">
        <f>IF(VLOOKUP(O$2,'TIS Site Config'!$A$4:$AQ$51,3,FALSE)&lt;&gt;"Soft",
          IF(
          VLOOKUP(O$2,'TIS Site Config'!$A$3:$AQ$51,6,FALSE)="Heated",
                 (VLOOKUP(O$2,'TIS Site Config'!$A$3:$AQ$51,17,FALSE)-2),0),0)</f>
        <v>4</v>
      </c>
      <c r="P80" s="21">
        <f>IF(VLOOKUP(P$2,'TIS Site Config'!$A$4:$AQ$51,3,FALSE)&lt;&gt;"Soft",
          IF(
          VLOOKUP(P$2,'TIS Site Config'!$A$3:$AQ$51,6,FALSE)="Heated",
                 (VLOOKUP(P$2,'TIS Site Config'!$A$3:$AQ$51,17,FALSE)-2),0),0)</f>
        <v>4</v>
      </c>
      <c r="Q80" s="222">
        <f>IF(VLOOKUP(Q$2,'TIS Site Config'!$A$4:$AQ$51,3,FALSE)&lt;&gt;"Soft",
          IF(
          VLOOKUP(Q$2,'TIS Site Config'!$A$3:$AQ$51,6,FALSE)="Heated",
                 (VLOOKUP(Q$2,'TIS Site Config'!$A$3:$AQ$51,17,FALSE)-2),0),0)</f>
        <v>2</v>
      </c>
      <c r="R80" s="136">
        <f>IF(VLOOKUP(R$2,'TIS Site Config'!$A$4:$AQ$51,3,FALSE)&lt;&gt;"Soft",
          IF(
          VLOOKUP(R$2,'TIS Site Config'!$A$3:$AQ$51,6,FALSE)="Heated",
                 (VLOOKUP(R$2,'TIS Site Config'!$A$3:$AQ$51,17,FALSE)-2),0),0)</f>
        <v>0</v>
      </c>
      <c r="S80" s="21">
        <f>IF(VLOOKUP(S$2,'TIS Site Config'!$A$4:$AQ$51,3,FALSE)&lt;&gt;"Soft",
          IF(
          VLOOKUP(S$2,'TIS Site Config'!$A$3:$AQ$51,6,FALSE)="Heated",
                 (VLOOKUP(S$2,'TIS Site Config'!$A$3:$AQ$51,17,FALSE)-2),0),0)</f>
        <v>0</v>
      </c>
      <c r="T80" s="222">
        <f>IF(VLOOKUP(T$2,'TIS Site Config'!$A$4:$AQ$51,3,FALSE)&lt;&gt;"Soft",
          IF(
          VLOOKUP(T$2,'TIS Site Config'!$A$3:$AQ$51,6,FALSE)="Heated",
                 (VLOOKUP(T$2,'TIS Site Config'!$A$3:$AQ$51,17,FALSE)-2),0),0)</f>
        <v>0</v>
      </c>
      <c r="U80" s="136">
        <f>IF(VLOOKUP(U$2,'TIS Site Config'!$A$4:$AQ$51,3,FALSE)&lt;&gt;"Soft",
          IF(
          VLOOKUP(U$2,'TIS Site Config'!$A$3:$AQ$51,6,FALSE)="Heated",
                 (VLOOKUP(U$2,'TIS Site Config'!$A$3:$AQ$51,17,FALSE)-2),0),0)</f>
        <v>0</v>
      </c>
      <c r="V80" s="222">
        <f>IF(VLOOKUP(V$2,'TIS Site Config'!$A$4:$AQ$51,3,FALSE)&lt;&gt;"Soft",
          IF(
          VLOOKUP(V$2,'TIS Site Config'!$A$3:$AQ$51,6,FALSE)="Heated",
                 (VLOOKUP(V$2,'TIS Site Config'!$A$3:$AQ$51,17,FALSE)-2),0),0)</f>
        <v>0</v>
      </c>
      <c r="W80" s="224">
        <f>IF(VLOOKUP(W$2,'TIS Site Config'!$A$4:$AQ$51,3,FALSE)&lt;&gt;"Soft",
          IF(
          VLOOKUP(W$2,'TIS Site Config'!$A$3:$AQ$51,6,FALSE)="Heated",
                 (VLOOKUP(W$2,'TIS Site Config'!$A$3:$AQ$51,17,FALSE)-2),0),0)</f>
        <v>4</v>
      </c>
      <c r="X80" s="21">
        <f>IF(VLOOKUP(X$2,'TIS Site Config'!$A$4:$AQ$51,3,FALSE)&lt;&gt;"Soft",
          IF(
          VLOOKUP(X$2,'TIS Site Config'!$A$3:$AQ$51,6,FALSE)="Heated",
                 (VLOOKUP(X$2,'TIS Site Config'!$A$3:$AQ$51,17,FALSE)-2),0),0)</f>
        <v>4</v>
      </c>
      <c r="Y80" s="222">
        <f>IF(VLOOKUP(Y$2,'TIS Site Config'!$A$4:$AQ$51,3,FALSE)&lt;&gt;"Soft",
          IF(
          VLOOKUP(Y$2,'TIS Site Config'!$A$3:$AQ$51,6,FALSE)="Heated",
                 (VLOOKUP(Y$2,'TIS Site Config'!$A$3:$AQ$51,17,FALSE)-2),0),0)</f>
        <v>4</v>
      </c>
      <c r="Z80" s="136">
        <f>IF(VLOOKUP(Z$2,'TIS Site Config'!$A$4:$AQ$51,3,FALSE)&lt;&gt;"Soft",
          IF(
          VLOOKUP(Z$2,'TIS Site Config'!$A$3:$AQ$51,6,FALSE)="Heated",
                 (VLOOKUP(Z$2,'TIS Site Config'!$A$3:$AQ$51,17,FALSE)-2),0),0)</f>
        <v>2</v>
      </c>
      <c r="AA80" s="21">
        <f>IF(VLOOKUP(AA$2,'TIS Site Config'!$A$4:$AQ$51,3,FALSE)&lt;&gt;"Soft",
          IF(
          VLOOKUP(AA$2,'TIS Site Config'!$A$3:$AQ$51,6,FALSE)="Heated",
                 (VLOOKUP(AA$2,'TIS Site Config'!$A$3:$AQ$51,17,FALSE)-2),0),0)</f>
        <v>4</v>
      </c>
      <c r="AB80" s="222">
        <f>IF(VLOOKUP(AB$2,'TIS Site Config'!$A$4:$AQ$51,3,FALSE)&lt;&gt;"Soft",
          IF(
          VLOOKUP(AB$2,'TIS Site Config'!$A$3:$AQ$51,6,FALSE)="Heated",
                 (VLOOKUP(AB$2,'TIS Site Config'!$A$3:$AQ$51,17,FALSE)-2),0),0)</f>
        <v>2</v>
      </c>
      <c r="AC80" s="21">
        <f>IF(VLOOKUP(AC$2,'TIS Site Config'!$A$4:$AQ$51,3,FALSE)&lt;&gt;"Soft",
          IF(
          VLOOKUP(AC$2,'TIS Site Config'!$A$3:$AQ$51,6,FALSE)="Heated",
                 (VLOOKUP(AC$2,'TIS Site Config'!$A$3:$AQ$51,17,FALSE)-2),0),0)</f>
        <v>4</v>
      </c>
      <c r="AD80" s="223">
        <f>IF(VLOOKUP(AD$2,'TIS Site Config'!$A$4:$AQ$51,3,FALSE)&lt;&gt;"Soft",
          IF(
          VLOOKUP(AD$2,'TIS Site Config'!$A$3:$AQ$51,6,FALSE)="Heated",
                 (VLOOKUP(AD$2,'TIS Site Config'!$A$3:$AQ$51,17,FALSE)-2),0),0)</f>
        <v>4</v>
      </c>
      <c r="AE80" s="223">
        <f>IF(VLOOKUP(AE$2,'TIS Site Config'!$A$4:$AQ$51,3,FALSE)&lt;&gt;"Soft",
          IF(
          VLOOKUP(AE$2,'TIS Site Config'!$A$3:$AQ$51,6,FALSE)="Heated",
                 (VLOOKUP(AE$2,'TIS Site Config'!$A$3:$AQ$51,17,FALSE)-2),0),0)</f>
        <v>4</v>
      </c>
      <c r="AF80" s="16">
        <f>IF(VLOOKUP(AF$2,'TIS Site Config'!$A$4:$AQ$51,3,FALSE)&lt;&gt;"Soft",
          IF(
          VLOOKUP(AF$2,'TIS Site Config'!$A$3:$AQ$51,6,FALSE)="Heated",
                 (VLOOKUP(AF$2,'TIS Site Config'!$A$3:$AQ$51,17,FALSE)-2),0),0)</f>
        <v>0</v>
      </c>
      <c r="AG80" s="21">
        <f>IF(VLOOKUP(AG$2,'TIS Site Config'!$A$4:$AQ$51,3,FALSE)&lt;&gt;"Soft",
          IF(
          VLOOKUP(AG$2,'TIS Site Config'!$A$3:$AQ$51,6,FALSE)="Heated",
                 (VLOOKUP(AG$2,'TIS Site Config'!$A$3:$AQ$51,17,FALSE)-2),0),0)</f>
        <v>0</v>
      </c>
      <c r="AH80" s="222">
        <f>IF(VLOOKUP(AH$2,'TIS Site Config'!$A$4:$AQ$51,3,FALSE)&lt;&gt;"Soft",
          IF(
          VLOOKUP(AH$2,'TIS Site Config'!$A$3:$AQ$51,6,FALSE)="Heated",
                 (VLOOKUP(AH$2,'TIS Site Config'!$A$3:$AQ$51,17,FALSE)-2),0),0)</f>
        <v>0</v>
      </c>
      <c r="AI80" s="136">
        <f>IF(VLOOKUP(AI$2,'TIS Site Config'!$A$4:$AQ$51,3,FALSE)&lt;&gt;"Soft",
          IF(
          VLOOKUP(AI$2,'TIS Site Config'!$A$3:$AQ$51,6,FALSE)="Heated",
                 (VLOOKUP(AI$2,'TIS Site Config'!$A$3:$AQ$51,17,FALSE)-2),0),0)</f>
        <v>2</v>
      </c>
      <c r="AJ80" s="21">
        <f>IF(VLOOKUP(AJ$2,'TIS Site Config'!$A$4:$AQ$51,3,FALSE)&lt;&gt;"Soft",
          IF(
          VLOOKUP(AJ$2,'TIS Site Config'!$A$3:$AQ$51,6,FALSE)="Heated",
                 (VLOOKUP(AJ$2,'TIS Site Config'!$A$3:$AQ$51,17,FALSE)-2),0),0)</f>
        <v>2</v>
      </c>
      <c r="AK80" s="222">
        <f>IF(VLOOKUP(AK$2,'TIS Site Config'!$A$4:$AQ$51,3,FALSE)&lt;&gt;"Soft",
          IF(
          VLOOKUP(AK$2,'TIS Site Config'!$A$3:$AQ$51,6,FALSE)="Heated",
                 (VLOOKUP(AK$2,'TIS Site Config'!$A$3:$AQ$51,17,FALSE)-2),0),0)</f>
        <v>2</v>
      </c>
      <c r="AL80" s="1009">
        <f>IF(VLOOKUP(AL$2,'TIS Site Config'!$A$4:$AQ$51,3,FALSE)&lt;&gt;"Soft",
          IF(
          VLOOKUP(AL$2,'TIS Site Config'!$A$3:$AQ$51,6,FALSE)="Heated",
                 (VLOOKUP(AL$2,'TIS Site Config'!$A$3:$AQ$51,17,FALSE)-2),0),0)</f>
        <v>2</v>
      </c>
      <c r="AM80" s="21">
        <f>IF(VLOOKUP(AM$2,'TIS Site Config'!$A$4:$AQ$51,3,FALSE)&lt;&gt;"Soft",
          IF(
          VLOOKUP(AM$2,'TIS Site Config'!$A$3:$AQ$51,6,FALSE)="Heated",
                 (VLOOKUP(AM$2,'TIS Site Config'!$A$3:$AQ$51,17,FALSE)-2),0),0)</f>
        <v>2</v>
      </c>
      <c r="AN80" s="222">
        <f>IF(VLOOKUP(AN$2,'TIS Site Config'!$A$4:$AQ$51,3,FALSE)&lt;&gt;"Soft",
          IF(
          VLOOKUP(AN$2,'TIS Site Config'!$A$3:$AQ$51,6,FALSE)="Heated",
                 (VLOOKUP(AN$2,'TIS Site Config'!$A$3:$AQ$51,17,FALSE)-2),0),0)</f>
        <v>3</v>
      </c>
      <c r="AO80" s="136">
        <f>IF(VLOOKUP(AO$2,'TIS Site Config'!$A$4:$AQ$51,3,FALSE)&lt;&gt;"Soft",
          IF(
          VLOOKUP(AO$2,'TIS Site Config'!$A$3:$AQ$51,6,FALSE)="Heated",
                 (VLOOKUP(AO$2,'TIS Site Config'!$A$3:$AQ$51,17,FALSE)-2),0),0)</f>
        <v>3</v>
      </c>
      <c r="AP80" s="21">
        <f>IF(VLOOKUP(AP$2,'TIS Site Config'!$A$4:$AQ$51,3,FALSE)&lt;&gt;"Soft",
          IF(
          VLOOKUP(AP$2,'TIS Site Config'!$A$3:$AQ$51,6,FALSE)="Heated",
                 (VLOOKUP(AP$2,'TIS Site Config'!$A$3:$AQ$51,17,FALSE)-2),0),0)</f>
        <v>2</v>
      </c>
      <c r="AQ80" s="136">
        <f>IF(VLOOKUP(AQ$2,'TIS Site Config'!$A$4:$AQ$51,3,FALSE)&lt;&gt;"Soft",
          IF(
          VLOOKUP(AQ$2,'TIS Site Config'!$A$3:$AQ$51,6,FALSE)="Heated",
                 (VLOOKUP(AQ$2,'TIS Site Config'!$A$3:$AQ$51,17,FALSE)-2),0),0)</f>
        <v>4</v>
      </c>
      <c r="AR80" s="136">
        <f>IF(VLOOKUP(AR$2,'TIS Site Config'!$A$4:$AQ$51,3,FALSE)&lt;&gt;"Soft",
          IF(
          VLOOKUP(AR$2,'TIS Site Config'!$A$3:$AQ$51,6,FALSE)="Heated",
                 (VLOOKUP(AR$2,'TIS Site Config'!$A$3:$AQ$51,17,FALSE)-2),0),0)</f>
        <v>0</v>
      </c>
      <c r="AS80" s="21">
        <f>IF(VLOOKUP(AS$2,'TIS Site Config'!$A$4:$AQ$51,3,FALSE)&lt;&gt;"Soft",
          IF(
          VLOOKUP(AS$2,'TIS Site Config'!$A$3:$AQ$51,6,FALSE)="Heated",
                 (VLOOKUP(AS$2,'TIS Site Config'!$A$3:$AQ$51,17,FALSE)-2),0),0)</f>
        <v>2</v>
      </c>
      <c r="AT80" s="136">
        <f>IF(VLOOKUP(AT$2,'TIS Site Config'!$A$4:$AQ$51,3,FALSE)&lt;&gt;"Soft",
          IF(
          VLOOKUP(AT$2,'TIS Site Config'!$A$3:$AQ$51,6,FALSE)="Heated",
                 (VLOOKUP(AT$2,'TIS Site Config'!$A$3:$AQ$51,17,FALSE)-2),0),0)</f>
        <v>0</v>
      </c>
      <c r="AU80" s="21">
        <f>IF(VLOOKUP(AU$2,'TIS Site Config'!$A$4:$AQ$51,3,FALSE)&lt;&gt;"Soft",
          IF(
          VLOOKUP(AU$2,'TIS Site Config'!$A$3:$AQ$51,6,FALSE)="Heated",
                 (VLOOKUP(AU$2,'TIS Site Config'!$A$3:$AQ$51,17,FALSE)-2),0),0)</f>
        <v>0</v>
      </c>
      <c r="AV80" s="136">
        <f>IF(VLOOKUP(AV$2,'TIS Site Config'!$A$4:$AQ$51,3,FALSE)&lt;&gt;"Soft",
          IF(
          VLOOKUP(AV$2,'TIS Site Config'!$A$3:$AQ$51,6,FALSE)="Heated",
                 (VLOOKUP(AV$2,'TIS Site Config'!$A$3:$AQ$51,17,FALSE)-2),0),0)</f>
        <v>2</v>
      </c>
      <c r="AW80" s="136">
        <f>IF(VLOOKUP(AW$2,'TIS Site Config'!$A$4:$AQ$51,3,FALSE)&lt;&gt;"Soft",
          IF(
          VLOOKUP(AW$2,'TIS Site Config'!$A$3:$AQ$51,6,FALSE)="Heated",
                 (VLOOKUP(AW$2,'TIS Site Config'!$A$3:$AQ$51,17,FALSE)-2),0),0)</f>
        <v>6</v>
      </c>
      <c r="AX80" s="222">
        <f>IF(VLOOKUP(AX$2,'TIS Site Config'!$A$4:$AQ$51,3,FALSE)&lt;&gt;"Soft",
          IF(
          VLOOKUP(AX$2,'TIS Site Config'!$A$3:$AQ$51,6,FALSE)="Heated",
                 (VLOOKUP(AX$2,'TIS Site Config'!$A$3:$AQ$51,17,FALSE)-2),0),0)</f>
        <v>3</v>
      </c>
      <c r="AY80" s="136">
        <f>IF(VLOOKUP(AY$2,'TIS Site Config'!$A$4:$AQ$51,3,FALSE)&lt;&gt;"Soft",
          IF(
          VLOOKUP(AY$2,'TIS Site Config'!$A$3:$AQ$51,6,FALSE)="Heated",
                 (VLOOKUP(AY$2,'TIS Site Config'!$A$3:$AQ$51,17,FALSE)-2),0),0)</f>
        <v>4</v>
      </c>
      <c r="AZ80" s="21">
        <f>IF(VLOOKUP(AZ$2,'TIS Site Config'!$A$4:$AQ$51,3,FALSE)&lt;&gt;"Soft",
          IF(
          VLOOKUP(AZ$2,'TIS Site Config'!$A$3:$AQ$51,6,FALSE)="Heated",
                 (VLOOKUP(AZ$2,'TIS Site Config'!$A$3:$AQ$51,17,FALSE)-2),0),0)</f>
        <v>4</v>
      </c>
      <c r="BA80" s="223">
        <f>IF(VLOOKUP(BA$2,'TIS Site Config'!$A$4:$AQ$51,3,FALSE)&lt;&gt;"Soft",
          IF(
          VLOOKUP(BA$2,'TIS Site Config'!$A$3:$AQ$51,6,FALSE)="Heated",
                 (VLOOKUP(BA$2,'TIS Site Config'!$A$3:$AQ$51,17,FALSE)-2),0),0)</f>
        <v>5</v>
      </c>
      <c r="BB80" s="136">
        <f>IF(VLOOKUP(BB$2,'TIS Site Config'!$A$4:$AQ$51,3,FALSE)&lt;&gt;"Soft",
          IF(
          VLOOKUP(BB$2,'TIS Site Config'!$A$3:$AQ$51,6,FALSE)="Heated",
                 (VLOOKUP(BB$2,'TIS Site Config'!$A$3:$AQ$51,17,FALSE)-2),0),0)</f>
        <v>0</v>
      </c>
      <c r="BC80" s="222">
        <f>IF(VLOOKUP(BC$2,'TIS Site Config'!$A$4:$AQ$51,3,FALSE)&lt;&gt;"Soft",
          IF(
          VLOOKUP(BC$2,'TIS Site Config'!$A$3:$AQ$51,6,FALSE)="Heated",
                 (VLOOKUP(BC$2,'TIS Site Config'!$A$3:$AQ$51,17,FALSE)-2),0),0)</f>
        <v>0</v>
      </c>
      <c r="BD80" s="136">
        <f>IF(VLOOKUP(BD$2,'TIS Site Config'!$A$4:$AQ$51,3,FALSE)&lt;&gt;"Soft",
          IF(
          VLOOKUP(BD$2,'TIS Site Config'!$A$3:$AQ$51,6,FALSE)="Heated",
                 (VLOOKUP(BD$2,'TIS Site Config'!$A$3:$AQ$51,17,FALSE)-2),0),0)</f>
        <v>0</v>
      </c>
      <c r="BE80" s="21">
        <f>IF(VLOOKUP(BE$2,'TIS Site Config'!$A$4:$AQ$51,3,FALSE)&lt;&gt;"Soft",
          IF(
          VLOOKUP(BE$2,'TIS Site Config'!$A$3:$AQ$51,6,FALSE)="Heated",
                 (VLOOKUP(BE$2,'TIS Site Config'!$A$3:$AQ$51,17,FALSE)-2),0),0)</f>
        <v>0</v>
      </c>
      <c r="BF80" s="222">
        <f>IF(VLOOKUP(BF$2,'TIS Site Config'!$A$4:$AQ$51,3,FALSE)&lt;&gt;"Soft",
          IF(
          VLOOKUP(BF$2,'TIS Site Config'!$A$3:$AQ$51,6,FALSE)="Heated",
                 (VLOOKUP(BF$2,'TIS Site Config'!$A$3:$AQ$51,17,FALSE)-2),0),0)</f>
        <v>0</v>
      </c>
      <c r="BG80" s="62">
        <f>IF(VLOOKUP(BG$2,'TIS Site Config'!$A$4:$AQ$51,3,FALSE)&lt;&gt;"Soft",
          IF(
          VLOOKUP(BG$2,'TIS Site Config'!$A$3:$AQ$51,6,FALSE)="Heated",
                 (VLOOKUP(BG$2,'TIS Site Config'!$A$3:$AQ$51,17,FALSE)-2),0),0)</f>
        <v>0</v>
      </c>
      <c r="BH80" s="62">
        <f>IF(VLOOKUP(BH$2,'TIS Site Config'!$A$4:$AQ$51,3,FALSE)&lt;&gt;"Soft",
          IF(
          VLOOKUP(BH$2,'TIS Site Config'!$A$3:$AQ$51,6,FALSE)="Heated",
                 (VLOOKUP(BH$2,'TIS Site Config'!$A$3:$AQ$51,17,FALSE)-2),0),0)</f>
        <v>2</v>
      </c>
      <c r="BK80" s="3">
        <v>118</v>
      </c>
      <c r="BL80" s="950" t="b">
        <f t="shared" si="6"/>
        <v>0</v>
      </c>
      <c r="BO80" s="950"/>
    </row>
    <row r="81" spans="1:67" x14ac:dyDescent="0.25">
      <c r="A81" s="1366"/>
      <c r="B81" s="1343"/>
      <c r="C81" s="69" t="s">
        <v>166</v>
      </c>
      <c r="D81" s="91">
        <v>2</v>
      </c>
      <c r="E81" s="85" t="s">
        <v>305</v>
      </c>
      <c r="F81" s="62">
        <f t="shared" si="5"/>
        <v>11</v>
      </c>
      <c r="G81" s="450"/>
      <c r="H81" s="451"/>
      <c r="I81" s="451"/>
      <c r="J81" s="451"/>
      <c r="K81" s="452"/>
      <c r="L81" s="491"/>
      <c r="M81" s="136">
        <f>IF(
                        VLOOKUP(M$2,'TIS Site Config'!$A$3:$AQ$51,6,FALSE)="Non-heated",
                              1,0)</f>
        <v>0</v>
      </c>
      <c r="N81" s="222">
        <f>IF(
                        VLOOKUP(N$2,'TIS Site Config'!$A$3:$AQ$51,6,FALSE)="Non-heated",
                              1,0)</f>
        <v>0</v>
      </c>
      <c r="O81" s="225">
        <f>IF(
                        VLOOKUP(O$2,'TIS Site Config'!$A$3:$AQ$51,6,FALSE)="Non-heated",
                              1,0)</f>
        <v>0</v>
      </c>
      <c r="P81" s="21">
        <f>IF(
                        VLOOKUP(P$2,'TIS Site Config'!$A$3:$AQ$51,6,FALSE)="Non-heated",
                              1,0)</f>
        <v>0</v>
      </c>
      <c r="Q81" s="222">
        <f>IF(
                        VLOOKUP(Q$2,'TIS Site Config'!$A$3:$AQ$51,6,FALSE)="Non-heated",
                              1,0)</f>
        <v>0</v>
      </c>
      <c r="R81" s="136">
        <f>IF(
                        VLOOKUP(R$2,'TIS Site Config'!$A$3:$AQ$51,6,FALSE)="Non-heated",
                              1,0)</f>
        <v>1</v>
      </c>
      <c r="S81" s="21">
        <f>IF(
                        VLOOKUP(S$2,'TIS Site Config'!$A$3:$AQ$51,6,FALSE)="Non-heated",
                              1,0)</f>
        <v>1</v>
      </c>
      <c r="T81" s="222">
        <f>IF(
                        VLOOKUP(T$2,'TIS Site Config'!$A$3:$AQ$51,6,FALSE)="Non-heated",
                              1,0)</f>
        <v>1</v>
      </c>
      <c r="U81" s="136">
        <f>IF(
                        VLOOKUP(U$2,'TIS Site Config'!$A$3:$AQ$51,6,FALSE)="Non-heated",
                              1,0)</f>
        <v>1</v>
      </c>
      <c r="V81" s="222">
        <f>IF(
                        VLOOKUP(V$2,'TIS Site Config'!$A$3:$AQ$51,6,FALSE)="Non-heated",
                              1,0)</f>
        <v>1</v>
      </c>
      <c r="W81" s="224">
        <f>IF(
                        VLOOKUP(W$2,'TIS Site Config'!$A$3:$AQ$51,6,FALSE)="Non-heated",
                              1,0)</f>
        <v>0</v>
      </c>
      <c r="X81" s="21">
        <f>IF(
                        VLOOKUP(X$2,'TIS Site Config'!$A$3:$AQ$51,6,FALSE)="Non-heated",
                              1,0)</f>
        <v>0</v>
      </c>
      <c r="Y81" s="222">
        <f>IF(
                        VLOOKUP(Y$2,'TIS Site Config'!$A$3:$AQ$51,6,FALSE)="Non-heated",
                              1,0)</f>
        <v>0</v>
      </c>
      <c r="Z81" s="136">
        <f>IF(
                        VLOOKUP(Z$2,'TIS Site Config'!$A$3:$AQ$51,6,FALSE)="Non-heated",
                              1,0)</f>
        <v>0</v>
      </c>
      <c r="AA81" s="21">
        <f>IF(
                        VLOOKUP(AA$2,'TIS Site Config'!$A$3:$AQ$51,6,FALSE)="Non-heated",
                              1,0)</f>
        <v>0</v>
      </c>
      <c r="AB81" s="222">
        <f>IF(
                        VLOOKUP(AB$2,'TIS Site Config'!$A$3:$AQ$51,6,FALSE)="Non-heated",
                              1,0)</f>
        <v>0</v>
      </c>
      <c r="AC81" s="21">
        <f>IF(
                        VLOOKUP(AC$2,'TIS Site Config'!$A$3:$AQ$51,6,FALSE)="Non-heated",
                              1,0)</f>
        <v>0</v>
      </c>
      <c r="AD81" s="223">
        <f>IF(
                        VLOOKUP(AD$2,'TIS Site Config'!$A$3:$AQ$51,6,FALSE)="Non-heated",
                              1,0)</f>
        <v>0</v>
      </c>
      <c r="AE81" s="223">
        <f>IF(
                        VLOOKUP(AE$2,'TIS Site Config'!$A$3:$AQ$51,6,FALSE)="Non-heated",
                              1,0)</f>
        <v>0</v>
      </c>
      <c r="AF81" s="16">
        <f>IF(
                        VLOOKUP(AF$2,'TIS Site Config'!$A$3:$AQ$51,6,FALSE)="Non-heated",
                              1,0)</f>
        <v>1</v>
      </c>
      <c r="AG81" s="21">
        <f>IF(
                        VLOOKUP(AG$2,'TIS Site Config'!$A$3:$AQ$51,6,FALSE)="Non-heated",
                              1,0)</f>
        <v>1</v>
      </c>
      <c r="AH81" s="222">
        <f>IF(
                        VLOOKUP(AH$2,'TIS Site Config'!$A$3:$AQ$51,6,FALSE)="Non-heated",
                              1,0)</f>
        <v>1</v>
      </c>
      <c r="AI81" s="136">
        <f>IF(
                        VLOOKUP(AI$2,'TIS Site Config'!$A$3:$AQ$51,6,FALSE)="Non-heated",
                              1,0)</f>
        <v>0</v>
      </c>
      <c r="AJ81" s="21">
        <f>IF(
                        VLOOKUP(AJ$2,'TIS Site Config'!$A$3:$AQ$51,6,FALSE)="Non-heated",
                              1,0)</f>
        <v>0</v>
      </c>
      <c r="AK81" s="222">
        <f>IF(
                        VLOOKUP(AK$2,'TIS Site Config'!$A$3:$AQ$51,6,FALSE)="Non-heated",
                              1,0)</f>
        <v>0</v>
      </c>
      <c r="AL81" s="136">
        <f>IF(
                        VLOOKUP(AL$2,'TIS Site Config'!$A$3:$AQ$51,6,FALSE)="Non-heated",
                              1,0)</f>
        <v>0</v>
      </c>
      <c r="AM81" s="21">
        <f>IF(
                        VLOOKUP(AM$2,'TIS Site Config'!$A$3:$AQ$51,6,FALSE)="Non-heated",
                              1,0)</f>
        <v>0</v>
      </c>
      <c r="AN81" s="222">
        <f>IF(
                        VLOOKUP(AN$2,'TIS Site Config'!$A$3:$AQ$51,6,FALSE)="Non-heated",
                              1,0)</f>
        <v>0</v>
      </c>
      <c r="AO81" s="136">
        <f>IF(
                        VLOOKUP(AO$2,'TIS Site Config'!$A$3:$AQ$51,6,FALSE)="Non-heated",
                              1,0)</f>
        <v>0</v>
      </c>
      <c r="AP81" s="21">
        <f>IF(
                        VLOOKUP(AP$2,'TIS Site Config'!$A$3:$AQ$51,6,FALSE)="Non-heated",
                              1,0)</f>
        <v>0</v>
      </c>
      <c r="AQ81" s="136">
        <f>IF(
                        VLOOKUP(AQ$2,'TIS Site Config'!$A$3:$AQ$51,6,FALSE)="Non-heated",
                              1,0)</f>
        <v>0</v>
      </c>
      <c r="AR81" s="136">
        <f>IF(
                        VLOOKUP(AR$2,'TIS Site Config'!$A$3:$AQ$51,6,FALSE)="Non-heated",
                              1,0)</f>
        <v>0</v>
      </c>
      <c r="AS81" s="21">
        <f>IF(
                        VLOOKUP(AS$2,'TIS Site Config'!$A$3:$AQ$51,6,FALSE)="Non-heated",
                              1,0)</f>
        <v>0</v>
      </c>
      <c r="AT81" s="136">
        <f>IF(
                        VLOOKUP(AT$2,'TIS Site Config'!$A$3:$AQ$51,6,FALSE)="Non-heated",
                              1,0)</f>
        <v>1</v>
      </c>
      <c r="AU81" s="21">
        <f>IF(
                        VLOOKUP(AU$2,'TIS Site Config'!$A$3:$AQ$51,6,FALSE)="Non-heated",
                              1,0)</f>
        <v>1</v>
      </c>
      <c r="AV81" s="136">
        <f>IF(
                        VLOOKUP(AV$2,'TIS Site Config'!$A$3:$AQ$51,6,FALSE)="Non-heated",
                              1,0)</f>
        <v>0</v>
      </c>
      <c r="AW81" s="1009">
        <f>IF(
                        VLOOKUP(AW$2,'TIS Site Config'!$A$3:$AQ$51,6,FALSE)="Non-heated",
                              1,0)</f>
        <v>0</v>
      </c>
      <c r="AX81" s="222">
        <f>IF(
                        VLOOKUP(AX$2,'TIS Site Config'!$A$3:$AQ$51,6,FALSE)="Non-heated",
                              1,0)</f>
        <v>0</v>
      </c>
      <c r="AY81" s="136">
        <f>IF(
                        VLOOKUP(AY$2,'TIS Site Config'!$A$3:$AQ$51,6,FALSE)="Non-heated",
                              1,0)</f>
        <v>0</v>
      </c>
      <c r="AZ81" s="21">
        <f>IF(
                        VLOOKUP(AZ$2,'TIS Site Config'!$A$3:$AQ$51,6,FALSE)="Non-heated",
                              1,0)</f>
        <v>0</v>
      </c>
      <c r="BA81" s="223">
        <f>IF(
                        VLOOKUP(BA$2,'TIS Site Config'!$A$3:$AQ$51,6,FALSE)="Non-heated",
                              1,0)</f>
        <v>0</v>
      </c>
      <c r="BB81" s="136">
        <f>IF(
                        VLOOKUP(BB$2,'TIS Site Config'!$A$3:$AQ$51,6,FALSE)="Non-heated",
                              1,0)</f>
        <v>0</v>
      </c>
      <c r="BC81" s="222">
        <f>IF(
                        VLOOKUP(BC$2,'TIS Site Config'!$A$3:$AQ$51,6,FALSE)="Non-heated",
                              1,0)</f>
        <v>0</v>
      </c>
      <c r="BD81" s="136">
        <f>IF(
                        VLOOKUP(BD$2,'TIS Site Config'!$A$3:$AQ$51,6,FALSE)="Non-heated",
                              1,0)</f>
        <v>0</v>
      </c>
      <c r="BE81" s="21">
        <f>IF(
                        VLOOKUP(BE$2,'TIS Site Config'!$A$3:$AQ$51,6,FALSE)="Non-heated",
                              1,0)</f>
        <v>0</v>
      </c>
      <c r="BF81" s="222">
        <f>IF(
                        VLOOKUP(BF$2,'TIS Site Config'!$A$3:$AQ$51,6,FALSE)="Non-heated",
                              1,0)</f>
        <v>0</v>
      </c>
      <c r="BG81" s="62">
        <f>IF(
                        VLOOKUP(BG$2,'TIS Site Config'!$A$3:$AQ$51,6,FALSE)="Non-heated",
                              1,0)</f>
        <v>1</v>
      </c>
      <c r="BH81" s="62">
        <f>IF(
                        VLOOKUP(BH$2,'TIS Site Config'!$A$3:$AQ$51,6,FALSE)="Non-heated",
                              1,0)</f>
        <v>0</v>
      </c>
      <c r="BK81" s="3">
        <v>15</v>
      </c>
      <c r="BL81" s="950" t="b">
        <f t="shared" si="6"/>
        <v>0</v>
      </c>
      <c r="BO81" s="950"/>
    </row>
    <row r="82" spans="1:67" s="9" customFormat="1" x14ac:dyDescent="0.25">
      <c r="A82" s="1366"/>
      <c r="B82" s="1372"/>
      <c r="C82" s="69" t="s">
        <v>301</v>
      </c>
      <c r="D82" s="91">
        <v>2</v>
      </c>
      <c r="E82" s="85" t="s">
        <v>304</v>
      </c>
      <c r="F82" s="253">
        <f t="shared" si="5"/>
        <v>22</v>
      </c>
      <c r="G82" s="456"/>
      <c r="H82" s="457"/>
      <c r="I82" s="457"/>
      <c r="J82" s="457"/>
      <c r="K82" s="458"/>
      <c r="L82" s="493"/>
      <c r="M82" s="136">
        <f>IF(VLOOKUP(M$2,'TIS Site Config'!$A$4:$AQ$51,3,FALSE)&lt;&gt;"Soft",
          IF(
                        AND(VLOOKUP(M$2,'TIS Site Config'!$A$3:$AQ$51,6,FALSE)="Heated",
                                   VLOOKUP(M$2,'TIS Site Config'!$A$3:$AQ$51,13,FALSE)="Standard"),
                              1,0),0)</f>
        <v>1</v>
      </c>
      <c r="N82" s="222">
        <f>IF(VLOOKUP(N$2,'TIS Site Config'!$A$4:$AQ$51,3,FALSE)&lt;&gt;"Soft",
          IF(
                        AND(VLOOKUP(N$2,'TIS Site Config'!$A$3:$AQ$51,6,FALSE)="Heated",
                                   VLOOKUP(N$2,'TIS Site Config'!$A$3:$AQ$51,13,FALSE)="Standard"),
                              1,0),0)</f>
        <v>1</v>
      </c>
      <c r="O82" s="225">
        <f>IF(VLOOKUP(O$2,'TIS Site Config'!$A$4:$AQ$51,3,FALSE)&lt;&gt;"Soft",
          IF(
                        AND(VLOOKUP(O$2,'TIS Site Config'!$A$3:$AQ$51,6,FALSE)="Heated",
                                   VLOOKUP(O$2,'TIS Site Config'!$A$3:$AQ$51,13,FALSE)="Standard"),
                              1,0),0)</f>
        <v>1</v>
      </c>
      <c r="P82" s="21">
        <f>IF(VLOOKUP(P$2,'TIS Site Config'!$A$4:$AQ$51,3,FALSE)&lt;&gt;"Soft",
          IF(
                        AND(VLOOKUP(P$2,'TIS Site Config'!$A$3:$AQ$51,6,FALSE)="Heated",
                                   VLOOKUP(P$2,'TIS Site Config'!$A$3:$AQ$51,13,FALSE)="Standard"),
                              1,0),0)</f>
        <v>0</v>
      </c>
      <c r="Q82" s="250">
        <f>IF(VLOOKUP(Q$2,'TIS Site Config'!$A$4:$AQ$51,3,FALSE)&lt;&gt;"Soft",
          IF(
                        AND(VLOOKUP(Q$2,'TIS Site Config'!$A$3:$AQ$51,6,FALSE)="Heated",
                                   VLOOKUP(Q$2,'TIS Site Config'!$A$3:$AQ$51,13,FALSE)="Standard"),
                              1,0),0)</f>
        <v>1</v>
      </c>
      <c r="R82" s="141">
        <f>IF(VLOOKUP(R$2,'TIS Site Config'!$A$4:$AQ$51,3,FALSE)&lt;&gt;"Soft",
          IF(
                        AND(VLOOKUP(R$2,'TIS Site Config'!$A$3:$AQ$51,6,FALSE)="Heated",
                                   VLOOKUP(R$2,'TIS Site Config'!$A$3:$AQ$51,13,FALSE)="Standard"),
                              1,0),0)</f>
        <v>0</v>
      </c>
      <c r="S82" s="299">
        <f>IF(VLOOKUP(S$2,'TIS Site Config'!$A$4:$AQ$51,3,FALSE)&lt;&gt;"Soft",
          IF(
                        AND(VLOOKUP(S$2,'TIS Site Config'!$A$3:$AQ$51,6,FALSE)="Heated",
                                   VLOOKUP(S$2,'TIS Site Config'!$A$3:$AQ$51,13,FALSE)="Standard"),
                              1,0),0)</f>
        <v>0</v>
      </c>
      <c r="T82" s="250">
        <f>IF(VLOOKUP(T$2,'TIS Site Config'!$A$4:$AQ$51,3,FALSE)&lt;&gt;"Soft",
          IF(
                        AND(VLOOKUP(T$2,'TIS Site Config'!$A$3:$AQ$51,6,FALSE)="Heated",
                                   VLOOKUP(T$2,'TIS Site Config'!$A$3:$AQ$51,13,FALSE)="Standard"),
                              1,0),0)</f>
        <v>0</v>
      </c>
      <c r="U82" s="136">
        <f>IF(VLOOKUP(U$2,'TIS Site Config'!$A$4:$AQ$51,3,FALSE)&lt;&gt;"Soft",
          IF(
                        AND(VLOOKUP(U$2,'TIS Site Config'!$A$3:$AQ$51,6,FALSE)="Heated",
                                   VLOOKUP(U$2,'TIS Site Config'!$A$3:$AQ$51,13,FALSE)="Standard"),
                              1,0),0)</f>
        <v>0</v>
      </c>
      <c r="V82" s="222">
        <f>IF(VLOOKUP(V$2,'TIS Site Config'!$A$4:$AQ$51,3,FALSE)&lt;&gt;"Soft",
          IF(
                        AND(VLOOKUP(V$2,'TIS Site Config'!$A$3:$AQ$51,6,FALSE)="Heated",
                                   VLOOKUP(V$2,'TIS Site Config'!$A$3:$AQ$51,13,FALSE)="Standard"),
                              1,0),0)</f>
        <v>0</v>
      </c>
      <c r="W82" s="224">
        <f>IF(VLOOKUP(W$2,'TIS Site Config'!$A$4:$AQ$51,3,FALSE)&lt;&gt;"Soft",
          IF(
                        AND(VLOOKUP(W$2,'TIS Site Config'!$A$3:$AQ$51,6,FALSE)="Heated",
                                   VLOOKUP(W$2,'TIS Site Config'!$A$3:$AQ$51,13,FALSE)="Standard"),
                              1,0),0)</f>
        <v>1</v>
      </c>
      <c r="X82" s="21">
        <f>IF(VLOOKUP(X$2,'TIS Site Config'!$A$4:$AQ$51,3,FALSE)&lt;&gt;"Soft",
          IF(
                        AND(VLOOKUP(X$2,'TIS Site Config'!$A$3:$AQ$51,6,FALSE)="Heated",
                                   VLOOKUP(X$2,'TIS Site Config'!$A$3:$AQ$51,13,FALSE)="Standard"),
                              1,0),0)</f>
        <v>0</v>
      </c>
      <c r="Y82" s="222">
        <f>IF(VLOOKUP(Y$2,'TIS Site Config'!$A$4:$AQ$51,3,FALSE)&lt;&gt;"Soft",
          IF(
                        AND(VLOOKUP(Y$2,'TIS Site Config'!$A$3:$AQ$51,6,FALSE)="Heated",
                                   VLOOKUP(Y$2,'TIS Site Config'!$A$3:$AQ$51,13,FALSE)="Standard"),
                              1,0),0)</f>
        <v>1</v>
      </c>
      <c r="Z82" s="136">
        <f>IF(VLOOKUP(Z$2,'TIS Site Config'!$A$4:$AQ$51,3,FALSE)&lt;&gt;"Soft",
          IF(
                        AND(VLOOKUP(Z$2,'TIS Site Config'!$A$3:$AQ$51,6,FALSE)="Heated",
                                   VLOOKUP(Z$2,'TIS Site Config'!$A$3:$AQ$51,13,FALSE)="Standard"),
                              1,0),0)</f>
        <v>1</v>
      </c>
      <c r="AA82" s="21">
        <f>IF(VLOOKUP(AA$2,'TIS Site Config'!$A$4:$AQ$51,3,FALSE)&lt;&gt;"Soft",
          IF(
                        AND(VLOOKUP(AA$2,'TIS Site Config'!$A$3:$AQ$51,6,FALSE)="Heated",
                                   VLOOKUP(AA$2,'TIS Site Config'!$A$3:$AQ$51,13,FALSE)="Standard"),
                              1,0),0)</f>
        <v>1</v>
      </c>
      <c r="AB82" s="222">
        <f>IF(VLOOKUP(AB$2,'TIS Site Config'!$A$4:$AQ$51,3,FALSE)&lt;&gt;"Soft",
          IF(
                        AND(VLOOKUP(AB$2,'TIS Site Config'!$A$3:$AQ$51,6,FALSE)="Heated",
                                   VLOOKUP(AB$2,'TIS Site Config'!$A$3:$AQ$51,13,FALSE)="Standard"),
                              1,0),0)</f>
        <v>1</v>
      </c>
      <c r="AC82" s="21">
        <f>IF(VLOOKUP(AC$2,'TIS Site Config'!$A$4:$AQ$51,3,FALSE)&lt;&gt;"Soft",
          IF(
                        AND(VLOOKUP(AC$2,'TIS Site Config'!$A$3:$AQ$51,6,FALSE)="Heated",
                                   VLOOKUP(AC$2,'TIS Site Config'!$A$3:$AQ$51,13,FALSE)="Standard"),
                              1,0),0)</f>
        <v>1</v>
      </c>
      <c r="AD82" s="223">
        <f>IF(VLOOKUP(AD$2,'TIS Site Config'!$A$4:$AQ$51,3,FALSE)&lt;&gt;"Soft",
          IF(
                        AND(VLOOKUP(AD$2,'TIS Site Config'!$A$3:$AQ$51,6,FALSE)="Heated",
                                   VLOOKUP(AD$2,'TIS Site Config'!$A$3:$AQ$51,13,FALSE)="Standard"),
                              1,0),0)</f>
        <v>1</v>
      </c>
      <c r="AE82" s="223">
        <f>IF(VLOOKUP(AE$2,'TIS Site Config'!$A$4:$AQ$51,3,FALSE)&lt;&gt;"Soft",
          IF(
                        AND(VLOOKUP(AE$2,'TIS Site Config'!$A$3:$AQ$51,6,FALSE)="Heated",
                                   VLOOKUP(AE$2,'TIS Site Config'!$A$3:$AQ$51,13,FALSE)="Standard"),
                              1,0),0)</f>
        <v>1</v>
      </c>
      <c r="AF82" s="16">
        <f>IF(VLOOKUP(AF$2,'TIS Site Config'!$A$4:$AQ$51,3,FALSE)&lt;&gt;"Soft",
          IF(
                        AND(VLOOKUP(AF$2,'TIS Site Config'!$A$3:$AQ$51,6,FALSE)="Heated",
                                   VLOOKUP(AF$2,'TIS Site Config'!$A$3:$AQ$51,13,FALSE)="Standard"),
                              1,0),0)</f>
        <v>0</v>
      </c>
      <c r="AG82" s="21">
        <f>IF(VLOOKUP(AG$2,'TIS Site Config'!$A$4:$AQ$51,3,FALSE)&lt;&gt;"Soft",
          IF(
                        AND(VLOOKUP(AG$2,'TIS Site Config'!$A$3:$AQ$51,6,FALSE)="Heated",
                                   VLOOKUP(AG$2,'TIS Site Config'!$A$3:$AQ$51,13,FALSE)="Standard"),
                              1,0),0)</f>
        <v>0</v>
      </c>
      <c r="AH82" s="222">
        <f>IF(VLOOKUP(AH$2,'TIS Site Config'!$A$4:$AQ$51,3,FALSE)&lt;&gt;"Soft",
          IF(
                        AND(VLOOKUP(AH$2,'TIS Site Config'!$A$3:$AQ$51,6,FALSE)="Heated",
                                   VLOOKUP(AH$2,'TIS Site Config'!$A$3:$AQ$51,13,FALSE)="Standard"),
                              1,0),0)</f>
        <v>0</v>
      </c>
      <c r="AI82" s="136">
        <f>IF(VLOOKUP(AI$2,'TIS Site Config'!$A$4:$AQ$51,3,FALSE)&lt;&gt;"Soft",
          IF(
                        AND(VLOOKUP(AI$2,'TIS Site Config'!$A$3:$AQ$51,6,FALSE)="Heated",
                                   VLOOKUP(AI$2,'TIS Site Config'!$A$3:$AQ$51,13,FALSE)="Standard"),
                              1,0),0)</f>
        <v>1</v>
      </c>
      <c r="AJ82" s="21">
        <f>IF(VLOOKUP(AJ$2,'TIS Site Config'!$A$4:$AQ$51,3,FALSE)&lt;&gt;"Soft",
          IF(
                        AND(VLOOKUP(AJ$2,'TIS Site Config'!$A$3:$AQ$51,6,FALSE)="Heated",
                                   VLOOKUP(AJ$2,'TIS Site Config'!$A$3:$AQ$51,13,FALSE)="Standard"),
                              1,0),0)</f>
        <v>1</v>
      </c>
      <c r="AK82" s="222">
        <f>IF(VLOOKUP(AK$2,'TIS Site Config'!$A$4:$AQ$51,3,FALSE)&lt;&gt;"Soft",
          IF(
                        AND(VLOOKUP(AK$2,'TIS Site Config'!$A$3:$AQ$51,6,FALSE)="Heated",
                                   VLOOKUP(AK$2,'TIS Site Config'!$A$3:$AQ$51,13,FALSE)="Standard"),
                              1,0),0)</f>
        <v>1</v>
      </c>
      <c r="AL82" s="1010">
        <f>IF(VLOOKUP(AL$2,'TIS Site Config'!$A$4:$AQ$51,3,FALSE)&lt;&gt;"Soft",
          IF(
                        AND(VLOOKUP(AL$2,'TIS Site Config'!$A$3:$AQ$51,6,FALSE)="Heated",
                                   VLOOKUP(AL$2,'TIS Site Config'!$A$3:$AQ$51,13,FALSE)="Standard"),
                              1,0),0)</f>
        <v>1</v>
      </c>
      <c r="AM82" s="299">
        <f>IF(VLOOKUP(AM$2,'TIS Site Config'!$A$4:$AQ$51,3,FALSE)&lt;&gt;"Soft",
          IF(
                        AND(VLOOKUP(AM$2,'TIS Site Config'!$A$3:$AQ$51,6,FALSE)="Heated",
                                   VLOOKUP(AM$2,'TIS Site Config'!$A$3:$AQ$51,13,FALSE)="Standard"),
                              1,0),0)</f>
        <v>1</v>
      </c>
      <c r="AN82" s="250">
        <f>IF(VLOOKUP(AN$2,'TIS Site Config'!$A$4:$AQ$51,3,FALSE)&lt;&gt;"Soft",
          IF(
                        AND(VLOOKUP(AN$2,'TIS Site Config'!$A$3:$AQ$51,6,FALSE)="Heated",
                                   VLOOKUP(AN$2,'TIS Site Config'!$A$3:$AQ$51,13,FALSE)="Standard"),
                              1,0),0)</f>
        <v>0</v>
      </c>
      <c r="AO82" s="136">
        <f>IF(VLOOKUP(AO$2,'TIS Site Config'!$A$4:$AQ$51,3,FALSE)&lt;&gt;"Soft",
          IF(
                        AND(VLOOKUP(AO$2,'TIS Site Config'!$A$3:$AQ$51,6,FALSE)="Heated",
                                   VLOOKUP(AO$2,'TIS Site Config'!$A$3:$AQ$51,13,FALSE)="Standard"),
                              1,0),0)</f>
        <v>1</v>
      </c>
      <c r="AP82" s="21">
        <f>IF(VLOOKUP(AP$2,'TIS Site Config'!$A$4:$AQ$51,3,FALSE)&lt;&gt;"Soft",
          IF(
                        AND(VLOOKUP(AP$2,'TIS Site Config'!$A$3:$AQ$51,6,FALSE)="Heated",
                                   VLOOKUP(AP$2,'TIS Site Config'!$A$3:$AQ$51,13,FALSE)="Standard"),
                              1,0),0)</f>
        <v>1</v>
      </c>
      <c r="AQ82" s="136">
        <f>IF(VLOOKUP(AQ$2,'TIS Site Config'!$A$4:$AQ$51,3,FALSE)&lt;&gt;"Soft",
          IF(
                        AND(VLOOKUP(AQ$2,'TIS Site Config'!$A$3:$AQ$51,6,FALSE)="Heated",
                                   VLOOKUP(AQ$2,'TIS Site Config'!$A$3:$AQ$51,13,FALSE)="Standard"),
                              1,0),0)</f>
        <v>0</v>
      </c>
      <c r="AR82" s="136">
        <f>IF(VLOOKUP(AR$2,'TIS Site Config'!$A$4:$AQ$51,3,FALSE)&lt;&gt;"Soft",
          IF(
                        AND(VLOOKUP(AR$2,'TIS Site Config'!$A$3:$AQ$51,6,FALSE)="Heated",
                                   VLOOKUP(AR$2,'TIS Site Config'!$A$3:$AQ$51,13,FALSE)="Standard"),
                              1,0),0)</f>
        <v>0</v>
      </c>
      <c r="AS82" s="21">
        <f>IF(VLOOKUP(AS$2,'TIS Site Config'!$A$4:$AQ$51,3,FALSE)&lt;&gt;"Soft",
          IF(
                        AND(VLOOKUP(AS$2,'TIS Site Config'!$A$3:$AQ$51,6,FALSE)="Heated",
                                   VLOOKUP(AS$2,'TIS Site Config'!$A$3:$AQ$51,13,FALSE)="Standard"),
                              1,0),0)</f>
        <v>1</v>
      </c>
      <c r="AT82" s="136">
        <f>IF(VLOOKUP(AT$2,'TIS Site Config'!$A$4:$AQ$51,3,FALSE)&lt;&gt;"Soft",
          IF(
                        AND(VLOOKUP(AT$2,'TIS Site Config'!$A$3:$AQ$51,6,FALSE)="Heated",
                                   VLOOKUP(AT$2,'TIS Site Config'!$A$3:$AQ$51,13,FALSE)="Standard"),
                              1,0),0)</f>
        <v>0</v>
      </c>
      <c r="AU82" s="299">
        <f>IF(VLOOKUP(AU$2,'TIS Site Config'!$A$4:$AQ$51,3,FALSE)&lt;&gt;"Soft",
          IF(
                        AND(VLOOKUP(AU$2,'TIS Site Config'!$A$3:$AQ$51,6,FALSE)="Heated",
                                   VLOOKUP(AU$2,'TIS Site Config'!$A$3:$AQ$51,13,FALSE)="Standard"),
                              1,0),0)</f>
        <v>0</v>
      </c>
      <c r="AV82" s="136">
        <f>IF(VLOOKUP(AV$2,'TIS Site Config'!$A$4:$AQ$51,3,FALSE)&lt;&gt;"Soft",
          IF(
                        AND(VLOOKUP(AV$2,'TIS Site Config'!$A$3:$AQ$51,6,FALSE)="Heated",
                                   VLOOKUP(AV$2,'TIS Site Config'!$A$3:$AQ$51,13,FALSE)="Standard"),
                              1,0),0)</f>
        <v>1</v>
      </c>
      <c r="AW82" s="1009">
        <f>IF(VLOOKUP(AW$2,'TIS Site Config'!$A$4:$AQ$51,3,FALSE)&lt;&gt;"Soft",
          IF(
                        AND(VLOOKUP(AW$2,'TIS Site Config'!$A$3:$AQ$51,6,FALSE)="Heated",
                                   VLOOKUP(AW$2,'TIS Site Config'!$A$3:$AQ$51,13,FALSE)="Standard"),
                              1,0),0)</f>
        <v>0</v>
      </c>
      <c r="AX82" s="222">
        <f>IF(VLOOKUP(AX$2,'TIS Site Config'!$A$4:$AQ$51,3,FALSE)&lt;&gt;"Soft",
          IF(
                        AND(VLOOKUP(AX$2,'TIS Site Config'!$A$3:$AQ$51,6,FALSE)="Heated",
                                   VLOOKUP(AX$2,'TIS Site Config'!$A$3:$AQ$51,13,FALSE)="Standard"),
                              1,0),0)</f>
        <v>0</v>
      </c>
      <c r="AY82" s="136">
        <f>IF(VLOOKUP(AY$2,'TIS Site Config'!$A$4:$AQ$51,3,FALSE)&lt;&gt;"Soft",
          IF(
                        AND(VLOOKUP(AY$2,'TIS Site Config'!$A$3:$AQ$51,6,FALSE)="Heated",
                                   VLOOKUP(AY$2,'TIS Site Config'!$A$3:$AQ$51,13,FALSE)="Standard"),
                              1,0),0)</f>
        <v>1</v>
      </c>
      <c r="AZ82" s="21">
        <f>IF(VLOOKUP(AZ$2,'TIS Site Config'!$A$4:$AQ$51,3,FALSE)&lt;&gt;"Soft",
          IF(
                        AND(VLOOKUP(AZ$2,'TIS Site Config'!$A$3:$AQ$51,6,FALSE)="Heated",
                                   VLOOKUP(AZ$2,'TIS Site Config'!$A$3:$AQ$51,13,FALSE)="Standard"),
                              1,0),0)</f>
        <v>0</v>
      </c>
      <c r="BA82" s="223">
        <f>IF(VLOOKUP(BA$2,'TIS Site Config'!$A$4:$AQ$51,3,FALSE)&lt;&gt;"Soft",
          IF(
                        AND(VLOOKUP(BA$2,'TIS Site Config'!$A$3:$AQ$51,6,FALSE)="Heated",
                                   VLOOKUP(BA$2,'TIS Site Config'!$A$3:$AQ$51,13,FALSE)="Standard"),
                              1,0),0)</f>
        <v>0</v>
      </c>
      <c r="BB82" s="136">
        <f>IF(VLOOKUP(BB$2,'TIS Site Config'!$A$4:$AQ$51,3,FALSE)&lt;&gt;"Soft",
          IF(
                        AND(VLOOKUP(BB$2,'TIS Site Config'!$A$3:$AQ$51,6,FALSE)="Heated",
                                   VLOOKUP(BB$2,'TIS Site Config'!$A$3:$AQ$51,13,FALSE)="Standard"),
                              1,0),0)</f>
        <v>0</v>
      </c>
      <c r="BC82" s="222">
        <f>IF(VLOOKUP(BC$2,'TIS Site Config'!$A$4:$AQ$51,3,FALSE)&lt;&gt;"Soft",
          IF(
                        AND(VLOOKUP(BC$2,'TIS Site Config'!$A$3:$AQ$51,6,FALSE)="Heated",
                                   VLOOKUP(BC$2,'TIS Site Config'!$A$3:$AQ$51,13,FALSE)="Standard"),
                              1,0),0)</f>
        <v>0</v>
      </c>
      <c r="BD82" s="136">
        <f>IF(VLOOKUP(BD$2,'TIS Site Config'!$A$4:$AQ$51,3,FALSE)&lt;&gt;"Soft",
          IF(
                        AND(VLOOKUP(BD$2,'TIS Site Config'!$A$3:$AQ$51,6,FALSE)="Heated",
                                   VLOOKUP(BD$2,'TIS Site Config'!$A$3:$AQ$51,13,FALSE)="Standard"),
                              1,0),0)</f>
        <v>0</v>
      </c>
      <c r="BE82" s="21">
        <f>IF(VLOOKUP(BE$2,'TIS Site Config'!$A$4:$AQ$51,3,FALSE)&lt;&gt;"Soft",
          IF(
                        AND(VLOOKUP(BE$2,'TIS Site Config'!$A$3:$AQ$51,6,FALSE)="Heated",
                                   VLOOKUP(BE$2,'TIS Site Config'!$A$3:$AQ$51,13,FALSE)="Standard"),
                              1,0),0)</f>
        <v>0</v>
      </c>
      <c r="BF82" s="222">
        <f>IF(VLOOKUP(BF$2,'TIS Site Config'!$A$4:$AQ$51,3,FALSE)&lt;&gt;"Soft",
          IF(
                        AND(VLOOKUP(BF$2,'TIS Site Config'!$A$3:$AQ$51,6,FALSE)="Heated",
                                   VLOOKUP(BF$2,'TIS Site Config'!$A$3:$AQ$51,13,FALSE)="Standard"),
                              1,0),0)</f>
        <v>0</v>
      </c>
      <c r="BG82" s="62">
        <f>IF(VLOOKUP(BG$2,'TIS Site Config'!$A$4:$AQ$51,3,FALSE)&lt;&gt;"Soft",
          IF(
                        AND(VLOOKUP(BG$2,'TIS Site Config'!$A$3:$AQ$51,6,FALSE)="Heated",
                                   VLOOKUP(BG$2,'TIS Site Config'!$A$3:$AQ$51,13,FALSE)="Standard"),
                              1,0),0)</f>
        <v>0</v>
      </c>
      <c r="BH82" s="253">
        <f>IF(VLOOKUP(BH$2,'TIS Site Config'!$A$4:$AQ$51,3,FALSE)&lt;&gt;"Soft",
          IF(
                        AND(VLOOKUP(BH$2,'TIS Site Config'!$A$3:$AQ$51,6,FALSE)="Heated",
                                   VLOOKUP(BH$2,'TIS Site Config'!$A$3:$AQ$51,13,FALSE)="Standard"),
                              1,0),0)</f>
        <v>1</v>
      </c>
      <c r="BK82" s="9">
        <v>26</v>
      </c>
      <c r="BL82" s="950" t="b">
        <f t="shared" si="6"/>
        <v>0</v>
      </c>
      <c r="BO82" s="950"/>
    </row>
    <row r="83" spans="1:67" s="44" customFormat="1" x14ac:dyDescent="0.25">
      <c r="A83" s="1366"/>
      <c r="B83" s="1372"/>
      <c r="C83" s="57" t="s">
        <v>302</v>
      </c>
      <c r="D83" s="90">
        <v>2</v>
      </c>
      <c r="E83" s="114" t="s">
        <v>303</v>
      </c>
      <c r="F83" s="253">
        <f t="shared" si="5"/>
        <v>7</v>
      </c>
      <c r="G83" s="456"/>
      <c r="H83" s="457"/>
      <c r="I83" s="457"/>
      <c r="J83" s="457"/>
      <c r="K83" s="458"/>
      <c r="L83" s="493"/>
      <c r="M83" s="141">
        <f>IF(VLOOKUP(M$2,'TIS Site Config'!$A$4:$AQ$51,3,FALSE)&lt;&gt;"Soft",
          IF(
                        AND(VLOOKUP(M$2,'TIS Site Config'!$A$3:$AQ$51,6,FALSE)="Heated",
                            OR(VLOOKUP(M$2,'TIS Site Config'!$A$3:$AQ$51,13,FALSE)="Heavy",
                                    VLOOKUP(M$2,'TIS Site Config'!$A$3:$AQ$51,13,FALSE)="Extreme")),
                              1,0),0)</f>
        <v>0</v>
      </c>
      <c r="N83" s="250">
        <f>IF(VLOOKUP(N$2,'TIS Site Config'!$A$4:$AQ$51,3,FALSE)&lt;&gt;"Soft",
          IF(
                        AND(VLOOKUP(N$2,'TIS Site Config'!$A$3:$AQ$51,6,FALSE)="Heated",
                            OR(VLOOKUP(N$2,'TIS Site Config'!$A$3:$AQ$51,13,FALSE)="Heavy",
                                    VLOOKUP(N$2,'TIS Site Config'!$A$3:$AQ$51,13,FALSE)="Extreme")),
                              1,0),0)</f>
        <v>0</v>
      </c>
      <c r="O83" s="255">
        <f>IF(VLOOKUP(O$2,'TIS Site Config'!$A$4:$AQ$51,3,FALSE)&lt;&gt;"Soft",
          IF(
                        AND(VLOOKUP(O$2,'TIS Site Config'!$A$3:$AQ$51,6,FALSE)="Heated",
                            OR(VLOOKUP(O$2,'TIS Site Config'!$A$3:$AQ$51,13,FALSE)="Heavy",
                                    VLOOKUP(O$2,'TIS Site Config'!$A$3:$AQ$51,13,FALSE)="Extreme")),
                              1,0),0)</f>
        <v>0</v>
      </c>
      <c r="P83" s="299">
        <f>IF(VLOOKUP(P$2,'TIS Site Config'!$A$4:$AQ$51,3,FALSE)&lt;&gt;"Soft",
          IF(
                        AND(VLOOKUP(P$2,'TIS Site Config'!$A$3:$AQ$51,6,FALSE)="Heated",
                            OR(VLOOKUP(P$2,'TIS Site Config'!$A$3:$AQ$51,13,FALSE)="Heavy",
                                    VLOOKUP(P$2,'TIS Site Config'!$A$3:$AQ$51,13,FALSE)="Extreme")),
                              1,0),0)</f>
        <v>1</v>
      </c>
      <c r="Q83" s="250">
        <f>IF(VLOOKUP(Q$2,'TIS Site Config'!$A$4:$AQ$51,3,FALSE)&lt;&gt;"Soft",
          IF(
                        AND(VLOOKUP(Q$2,'TIS Site Config'!$A$3:$AQ$51,6,FALSE)="Heated",
                            OR(VLOOKUP(Q$2,'TIS Site Config'!$A$3:$AQ$51,13,FALSE)="Heavy",
                                    VLOOKUP(Q$2,'TIS Site Config'!$A$3:$AQ$51,13,FALSE)="Extreme")),
                              1,0),0)</f>
        <v>0</v>
      </c>
      <c r="R83" s="141">
        <f>IF(VLOOKUP(R$2,'TIS Site Config'!$A$4:$AQ$51,3,FALSE)&lt;&gt;"Soft",
          IF(
                        AND(VLOOKUP(R$2,'TIS Site Config'!$A$3:$AQ$51,6,FALSE)="Heated",
                            OR(VLOOKUP(R$2,'TIS Site Config'!$A$3:$AQ$51,13,FALSE)="Heavy",
                                    VLOOKUP(R$2,'TIS Site Config'!$A$3:$AQ$51,13,FALSE)="Extreme")),
                              1,0),0)</f>
        <v>0</v>
      </c>
      <c r="S83" s="299">
        <f>IF(VLOOKUP(S$2,'TIS Site Config'!$A$4:$AQ$51,3,FALSE)&lt;&gt;"Soft",
          IF(
                        AND(VLOOKUP(S$2,'TIS Site Config'!$A$3:$AQ$51,6,FALSE)="Heated",
                            OR(VLOOKUP(S$2,'TIS Site Config'!$A$3:$AQ$51,13,FALSE)="Heavy",
                                    VLOOKUP(S$2,'TIS Site Config'!$A$3:$AQ$51,13,FALSE)="Extreme")),
                              1,0),0)</f>
        <v>0</v>
      </c>
      <c r="T83" s="250">
        <f>IF(VLOOKUP(T$2,'TIS Site Config'!$A$4:$AQ$51,3,FALSE)&lt;&gt;"Soft",
          IF(
                        AND(VLOOKUP(T$2,'TIS Site Config'!$A$3:$AQ$51,6,FALSE)="Heated",
                            OR(VLOOKUP(T$2,'TIS Site Config'!$A$3:$AQ$51,13,FALSE)="Heavy",
                                    VLOOKUP(T$2,'TIS Site Config'!$A$3:$AQ$51,13,FALSE)="Extreme")),
                              1,0),0)</f>
        <v>0</v>
      </c>
      <c r="U83" s="141">
        <f>IF(VLOOKUP(U$2,'TIS Site Config'!$A$4:$AQ$51,3,FALSE)&lt;&gt;"Soft",
          IF(
                        AND(VLOOKUP(U$2,'TIS Site Config'!$A$3:$AQ$51,6,FALSE)="Heated",
                            OR(VLOOKUP(U$2,'TIS Site Config'!$A$3:$AQ$51,13,FALSE)="Heavy",
                                    VLOOKUP(U$2,'TIS Site Config'!$A$3:$AQ$51,13,FALSE)="Extreme")),
                              1,0),0)</f>
        <v>0</v>
      </c>
      <c r="V83" s="250">
        <f>IF(VLOOKUP(V$2,'TIS Site Config'!$A$4:$AQ$51,3,FALSE)&lt;&gt;"Soft",
          IF(
                        AND(VLOOKUP(V$2,'TIS Site Config'!$A$3:$AQ$51,6,FALSE)="Heated",
                            OR(VLOOKUP(V$2,'TIS Site Config'!$A$3:$AQ$51,13,FALSE)="Heavy",
                                    VLOOKUP(V$2,'TIS Site Config'!$A$3:$AQ$51,13,FALSE)="Extreme")),
                              1,0),0)</f>
        <v>0</v>
      </c>
      <c r="W83" s="254">
        <f>IF(VLOOKUP(W$2,'TIS Site Config'!$A$4:$AQ$51,3,FALSE)&lt;&gt;"Soft",
          IF(
                        AND(VLOOKUP(W$2,'TIS Site Config'!$A$3:$AQ$51,6,FALSE)="Heated",
                            OR(VLOOKUP(W$2,'TIS Site Config'!$A$3:$AQ$51,13,FALSE)="Heavy",
                                    VLOOKUP(W$2,'TIS Site Config'!$A$3:$AQ$51,13,FALSE)="Extreme")),
                              1,0),0)</f>
        <v>0</v>
      </c>
      <c r="X83" s="299">
        <f>IF(VLOOKUP(X$2,'TIS Site Config'!$A$4:$AQ$51,3,FALSE)&lt;&gt;"Soft",
          IF(
                        AND(VLOOKUP(X$2,'TIS Site Config'!$A$3:$AQ$51,6,FALSE)="Heated",
                            OR(VLOOKUP(X$2,'TIS Site Config'!$A$3:$AQ$51,13,FALSE)="Heavy",
                                    VLOOKUP(X$2,'TIS Site Config'!$A$3:$AQ$51,13,FALSE)="Extreme")),
                              1,0),0)</f>
        <v>1</v>
      </c>
      <c r="Y83" s="250">
        <f>IF(VLOOKUP(Y$2,'TIS Site Config'!$A$4:$AQ$51,3,FALSE)&lt;&gt;"Soft",
          IF(
                        AND(VLOOKUP(Y$2,'TIS Site Config'!$A$3:$AQ$51,6,FALSE)="Heated",
                            OR(VLOOKUP(Y$2,'TIS Site Config'!$A$3:$AQ$51,13,FALSE)="Heavy",
                                    VLOOKUP(Y$2,'TIS Site Config'!$A$3:$AQ$51,13,FALSE)="Extreme")),
                              1,0),0)</f>
        <v>0</v>
      </c>
      <c r="Z83" s="141">
        <f>IF(VLOOKUP(Z$2,'TIS Site Config'!$A$4:$AQ$51,3,FALSE)&lt;&gt;"Soft",
          IF(
                        AND(VLOOKUP(Z$2,'TIS Site Config'!$A$3:$AQ$51,6,FALSE)="Heated",
                            OR(VLOOKUP(Z$2,'TIS Site Config'!$A$3:$AQ$51,13,FALSE)="Heavy",
                                    VLOOKUP(Z$2,'TIS Site Config'!$A$3:$AQ$51,13,FALSE)="Extreme")),
                              1,0),0)</f>
        <v>0</v>
      </c>
      <c r="AA83" s="299">
        <f>IF(VLOOKUP(AA$2,'TIS Site Config'!$A$4:$AQ$51,3,FALSE)&lt;&gt;"Soft",
          IF(
                        AND(VLOOKUP(AA$2,'TIS Site Config'!$A$3:$AQ$51,6,FALSE)="Heated",
                            OR(VLOOKUP(AA$2,'TIS Site Config'!$A$3:$AQ$51,13,FALSE)="Heavy",
                                    VLOOKUP(AA$2,'TIS Site Config'!$A$3:$AQ$51,13,FALSE)="Extreme")),
                              1,0),0)</f>
        <v>0</v>
      </c>
      <c r="AB83" s="250">
        <f>IF(VLOOKUP(AB$2,'TIS Site Config'!$A$4:$AQ$51,3,FALSE)&lt;&gt;"Soft",
          IF(
                        AND(VLOOKUP(AB$2,'TIS Site Config'!$A$3:$AQ$51,6,FALSE)="Heated",
                            OR(VLOOKUP(AB$2,'TIS Site Config'!$A$3:$AQ$51,13,FALSE)="Heavy",
                                    VLOOKUP(AB$2,'TIS Site Config'!$A$3:$AQ$51,13,FALSE)="Extreme")),
                              1,0),0)</f>
        <v>0</v>
      </c>
      <c r="AC83" s="299">
        <f>IF(VLOOKUP(AC$2,'TIS Site Config'!$A$4:$AQ$51,3,FALSE)&lt;&gt;"Soft",
          IF(
                        AND(VLOOKUP(AC$2,'TIS Site Config'!$A$3:$AQ$51,6,FALSE)="Heated",
                            OR(VLOOKUP(AC$2,'TIS Site Config'!$A$3:$AQ$51,13,FALSE)="Heavy",
                                    VLOOKUP(AC$2,'TIS Site Config'!$A$3:$AQ$51,13,FALSE)="Extreme")),
                              1,0),0)</f>
        <v>0</v>
      </c>
      <c r="AD83" s="251">
        <f>IF(VLOOKUP(AD$2,'TIS Site Config'!$A$4:$AQ$51,3,FALSE)&lt;&gt;"Soft",
          IF(
                        AND(VLOOKUP(AD$2,'TIS Site Config'!$A$3:$AQ$51,6,FALSE)="Heated",
                            OR(VLOOKUP(AD$2,'TIS Site Config'!$A$3:$AQ$51,13,FALSE)="Heavy",
                                    VLOOKUP(AD$2,'TIS Site Config'!$A$3:$AQ$51,13,FALSE)="Extreme")),
                              1,0),0)</f>
        <v>0</v>
      </c>
      <c r="AE83" s="251">
        <f>IF(VLOOKUP(AE$2,'TIS Site Config'!$A$4:$AQ$51,3,FALSE)&lt;&gt;"Soft",
          IF(
                        AND(VLOOKUP(AE$2,'TIS Site Config'!$A$3:$AQ$51,6,FALSE)="Heated",
                            OR(VLOOKUP(AE$2,'TIS Site Config'!$A$3:$AQ$51,13,FALSE)="Heavy",
                                    VLOOKUP(AE$2,'TIS Site Config'!$A$3:$AQ$51,13,FALSE)="Extreme")),
                              1,0),0)</f>
        <v>0</v>
      </c>
      <c r="AF83" s="252">
        <f>IF(VLOOKUP(AF$2,'TIS Site Config'!$A$4:$AQ$51,3,FALSE)&lt;&gt;"Soft",
          IF(
                        AND(VLOOKUP(AF$2,'TIS Site Config'!$A$3:$AQ$51,6,FALSE)="Heated",
                            OR(VLOOKUP(AF$2,'TIS Site Config'!$A$3:$AQ$51,13,FALSE)="Heavy",
                                    VLOOKUP(AF$2,'TIS Site Config'!$A$3:$AQ$51,13,FALSE)="Extreme")),
                              1,0),0)</f>
        <v>0</v>
      </c>
      <c r="AG83" s="299">
        <f>IF(VLOOKUP(AG$2,'TIS Site Config'!$A$4:$AQ$51,3,FALSE)&lt;&gt;"Soft",
          IF(
                        AND(VLOOKUP(AG$2,'TIS Site Config'!$A$3:$AQ$51,6,FALSE)="Heated",
                            OR(VLOOKUP(AG$2,'TIS Site Config'!$A$3:$AQ$51,13,FALSE)="Heavy",
                                    VLOOKUP(AG$2,'TIS Site Config'!$A$3:$AQ$51,13,FALSE)="Extreme")),
                              1,0),0)</f>
        <v>0</v>
      </c>
      <c r="AH83" s="250">
        <f>IF(VLOOKUP(AH$2,'TIS Site Config'!$A$4:$AQ$51,3,FALSE)&lt;&gt;"Soft",
          IF(
                        AND(VLOOKUP(AH$2,'TIS Site Config'!$A$3:$AQ$51,6,FALSE)="Heated",
                            OR(VLOOKUP(AH$2,'TIS Site Config'!$A$3:$AQ$51,13,FALSE)="Heavy",
                                    VLOOKUP(AH$2,'TIS Site Config'!$A$3:$AQ$51,13,FALSE)="Extreme")),
                              1,0),0)</f>
        <v>0</v>
      </c>
      <c r="AI83" s="141">
        <f>IF(VLOOKUP(AI$2,'TIS Site Config'!$A$4:$AQ$51,3,FALSE)&lt;&gt;"Soft",
          IF(
                        AND(VLOOKUP(AI$2,'TIS Site Config'!$A$3:$AQ$51,6,FALSE)="Heated",
                            OR(VLOOKUP(AI$2,'TIS Site Config'!$A$3:$AQ$51,13,FALSE)="Heavy",
                                    VLOOKUP(AI$2,'TIS Site Config'!$A$3:$AQ$51,13,FALSE)="Extreme")),
                              1,0),0)</f>
        <v>0</v>
      </c>
      <c r="AJ83" s="299">
        <f>IF(VLOOKUP(AJ$2,'TIS Site Config'!$A$4:$AQ$51,3,FALSE)&lt;&gt;"Soft",
          IF(
                        AND(VLOOKUP(AJ$2,'TIS Site Config'!$A$3:$AQ$51,6,FALSE)="Heated",
                            OR(VLOOKUP(AJ$2,'TIS Site Config'!$A$3:$AQ$51,13,FALSE)="Heavy",
                                    VLOOKUP(AJ$2,'TIS Site Config'!$A$3:$AQ$51,13,FALSE)="Extreme")),
                              1,0),0)</f>
        <v>0</v>
      </c>
      <c r="AK83" s="250">
        <f>IF(VLOOKUP(AK$2,'TIS Site Config'!$A$4:$AQ$51,3,FALSE)&lt;&gt;"Soft",
          IF(
                        AND(VLOOKUP(AK$2,'TIS Site Config'!$A$3:$AQ$51,6,FALSE)="Heated",
                            OR(VLOOKUP(AK$2,'TIS Site Config'!$A$3:$AQ$51,13,FALSE)="Heavy",
                                    VLOOKUP(AK$2,'TIS Site Config'!$A$3:$AQ$51,13,FALSE)="Extreme")),
                              1,0),0)</f>
        <v>0</v>
      </c>
      <c r="AL83" s="141">
        <f>IF(VLOOKUP(AL$2,'TIS Site Config'!$A$4:$AQ$51,3,FALSE)&lt;&gt;"Soft",
          IF(
                        AND(VLOOKUP(AL$2,'TIS Site Config'!$A$3:$AQ$51,6,FALSE)="Heated",
                            OR(VLOOKUP(AL$2,'TIS Site Config'!$A$3:$AQ$51,13,FALSE)="Heavy",
                                    VLOOKUP(AL$2,'TIS Site Config'!$A$3:$AQ$51,13,FALSE)="Extreme")),
                              1,0),0)</f>
        <v>0</v>
      </c>
      <c r="AM83" s="299">
        <f>IF(VLOOKUP(AM$2,'TIS Site Config'!$A$4:$AQ$51,3,FALSE)&lt;&gt;"Soft",
          IF(
                        AND(VLOOKUP(AM$2,'TIS Site Config'!$A$3:$AQ$51,6,FALSE)="Heated",
                            OR(VLOOKUP(AM$2,'TIS Site Config'!$A$3:$AQ$51,13,FALSE)="Heavy",
                                    VLOOKUP(AM$2,'TIS Site Config'!$A$3:$AQ$51,13,FALSE)="Extreme")),
                              1,0),0)</f>
        <v>0</v>
      </c>
      <c r="AN83" s="250">
        <f>IF(VLOOKUP(AN$2,'TIS Site Config'!$A$4:$AQ$51,3,FALSE)&lt;&gt;"Soft",
          IF(
                        AND(VLOOKUP(AN$2,'TIS Site Config'!$A$3:$AQ$51,6,FALSE)="Heated",
                            OR(VLOOKUP(AN$2,'TIS Site Config'!$A$3:$AQ$51,13,FALSE)="Heavy",
                                    VLOOKUP(AN$2,'TIS Site Config'!$A$3:$AQ$51,13,FALSE)="Extreme")),
                              1,0),0)</f>
        <v>1</v>
      </c>
      <c r="AO83" s="141">
        <f>IF(VLOOKUP(AO$2,'TIS Site Config'!$A$4:$AQ$51,3,FALSE)&lt;&gt;"Soft",
          IF(
                        AND(VLOOKUP(AO$2,'TIS Site Config'!$A$3:$AQ$51,6,FALSE)="Heated",
                            OR(VLOOKUP(AO$2,'TIS Site Config'!$A$3:$AQ$51,13,FALSE)="Heavy",
                                    VLOOKUP(AO$2,'TIS Site Config'!$A$3:$AQ$51,13,FALSE)="Extreme")),
                              1,0),0)</f>
        <v>0</v>
      </c>
      <c r="AP83" s="299">
        <f>IF(VLOOKUP(AP$2,'TIS Site Config'!$A$4:$AQ$51,3,FALSE)&lt;&gt;"Soft",
          IF(
                        AND(VLOOKUP(AP$2,'TIS Site Config'!$A$3:$AQ$51,6,FALSE)="Heated",
                            OR(VLOOKUP(AP$2,'TIS Site Config'!$A$3:$AQ$51,13,FALSE)="Heavy",
                                    VLOOKUP(AP$2,'TIS Site Config'!$A$3:$AQ$51,13,FALSE)="Extreme")),
                              1,0),0)</f>
        <v>0</v>
      </c>
      <c r="AQ83" s="141">
        <f>IF(VLOOKUP(AQ$2,'TIS Site Config'!$A$4:$AQ$51,3,FALSE)&lt;&gt;"Soft",
          IF(
                        AND(VLOOKUP(AQ$2,'TIS Site Config'!$A$3:$AQ$51,6,FALSE)="Heated",
                            OR(VLOOKUP(AQ$2,'TIS Site Config'!$A$3:$AQ$51,13,FALSE)="Heavy",
                                    VLOOKUP(AQ$2,'TIS Site Config'!$A$3:$AQ$51,13,FALSE)="Extreme")),
                              1,0),0)</f>
        <v>1</v>
      </c>
      <c r="AR83" s="141">
        <f>IF(VLOOKUP(AR$2,'TIS Site Config'!$A$4:$AQ$51,3,FALSE)&lt;&gt;"Soft",
          IF(
                        AND(VLOOKUP(AR$2,'TIS Site Config'!$A$3:$AQ$51,6,FALSE)="Heated",
                            OR(VLOOKUP(AR$2,'TIS Site Config'!$A$3:$AQ$51,13,FALSE)="Heavy",
                                    VLOOKUP(AR$2,'TIS Site Config'!$A$3:$AQ$51,13,FALSE)="Extreme")),
                              1,0),0)</f>
        <v>0</v>
      </c>
      <c r="AS83" s="299">
        <f>IF(VLOOKUP(AS$2,'TIS Site Config'!$A$4:$AQ$51,3,FALSE)&lt;&gt;"Soft",
          IF(
                        AND(VLOOKUP(AS$2,'TIS Site Config'!$A$3:$AQ$51,6,FALSE)="Heated",
                            OR(VLOOKUP(AS$2,'TIS Site Config'!$A$3:$AQ$51,13,FALSE)="Heavy",
                                    VLOOKUP(AS$2,'TIS Site Config'!$A$3:$AQ$51,13,FALSE)="Extreme")),
                              1,0),0)</f>
        <v>0</v>
      </c>
      <c r="AT83" s="141">
        <f>IF(VLOOKUP(AT$2,'TIS Site Config'!$A$4:$AQ$51,3,FALSE)&lt;&gt;"Soft",
          IF(
                        AND(VLOOKUP(AT$2,'TIS Site Config'!$A$3:$AQ$51,6,FALSE)="Heated",
                            OR(VLOOKUP(AT$2,'TIS Site Config'!$A$3:$AQ$51,13,FALSE)="Heavy",
                                    VLOOKUP(AT$2,'TIS Site Config'!$A$3:$AQ$51,13,FALSE)="Extreme")),
                              1,0),0)</f>
        <v>0</v>
      </c>
      <c r="AU83" s="299">
        <f>IF(VLOOKUP(AU$2,'TIS Site Config'!$A$4:$AQ$51,3,FALSE)&lt;&gt;"Soft",
          IF(
                        AND(VLOOKUP(AU$2,'TIS Site Config'!$A$3:$AQ$51,6,FALSE)="Heated",
                            OR(VLOOKUP(AU$2,'TIS Site Config'!$A$3:$AQ$51,13,FALSE)="Heavy",
                                    VLOOKUP(AU$2,'TIS Site Config'!$A$3:$AQ$51,13,FALSE)="Extreme")),
                              1,0),0)</f>
        <v>0</v>
      </c>
      <c r="AV83" s="141">
        <f>IF(VLOOKUP(AV$2,'TIS Site Config'!$A$4:$AQ$51,3,FALSE)&lt;&gt;"Soft",
          IF(
                        AND(VLOOKUP(AV$2,'TIS Site Config'!$A$3:$AQ$51,6,FALSE)="Heated",
                            OR(VLOOKUP(AV$2,'TIS Site Config'!$A$3:$AQ$51,13,FALSE)="Heavy",
                                    VLOOKUP(AV$2,'TIS Site Config'!$A$3:$AQ$51,13,FALSE)="Extreme")),
                              1,0),0)</f>
        <v>0</v>
      </c>
      <c r="AW83" s="1010">
        <f>IF(VLOOKUP(AW$2,'TIS Site Config'!$A$4:$AQ$51,3,FALSE)&lt;&gt;"Soft",
          IF(
                        AND(VLOOKUP(AW$2,'TIS Site Config'!$A$3:$AQ$51,6,FALSE)="Heated",
                            OR(VLOOKUP(AW$2,'TIS Site Config'!$A$3:$AQ$51,13,FALSE)="Heavy",
                                    VLOOKUP(AW$2,'TIS Site Config'!$A$3:$AQ$51,13,FALSE)="Extreme")),
                              1,0),0)</f>
        <v>0</v>
      </c>
      <c r="AX83" s="250">
        <f>IF(VLOOKUP(AX$2,'TIS Site Config'!$A$4:$AQ$51,3,FALSE)&lt;&gt;"Soft",
          IF(
                        AND(VLOOKUP(AX$2,'TIS Site Config'!$A$3:$AQ$51,6,FALSE)="Heated",
                            OR(VLOOKUP(AX$2,'TIS Site Config'!$A$3:$AQ$51,13,FALSE)="Heavy",
                                    VLOOKUP(AX$2,'TIS Site Config'!$A$3:$AQ$51,13,FALSE)="Extreme")),
                              1,0),0)</f>
        <v>1</v>
      </c>
      <c r="AY83" s="141">
        <f>IF(VLOOKUP(AY$2,'TIS Site Config'!$A$4:$AQ$51,3,FALSE)&lt;&gt;"Soft",
          IF(
                        AND(VLOOKUP(AY$2,'TIS Site Config'!$A$3:$AQ$51,6,FALSE)="Heated",
                            OR(VLOOKUP(AY$2,'TIS Site Config'!$A$3:$AQ$51,13,FALSE)="Heavy",
                                    VLOOKUP(AY$2,'TIS Site Config'!$A$3:$AQ$51,13,FALSE)="Extreme")),
                              1,0),0)</f>
        <v>0</v>
      </c>
      <c r="AZ83" s="299">
        <f>IF(VLOOKUP(AZ$2,'TIS Site Config'!$A$4:$AQ$51,3,FALSE)&lt;&gt;"Soft",
          IF(
                        AND(VLOOKUP(AZ$2,'TIS Site Config'!$A$3:$AQ$51,6,FALSE)="Heated",
                            OR(VLOOKUP(AZ$2,'TIS Site Config'!$A$3:$AQ$51,13,FALSE)="Heavy",
                                    VLOOKUP(AZ$2,'TIS Site Config'!$A$3:$AQ$51,13,FALSE)="Extreme")),
                              1,0),0)</f>
        <v>1</v>
      </c>
      <c r="BA83" s="251">
        <f>IF(VLOOKUP(BA$2,'TIS Site Config'!$A$4:$AQ$51,3,FALSE)&lt;&gt;"Soft",
          IF(
                        AND(VLOOKUP(BA$2,'TIS Site Config'!$A$3:$AQ$51,6,FALSE)="Heated",
                            OR(VLOOKUP(BA$2,'TIS Site Config'!$A$3:$AQ$51,13,FALSE)="Heavy",
                                    VLOOKUP(BA$2,'TIS Site Config'!$A$3:$AQ$51,13,FALSE)="Extreme")),
                              1,0),0)</f>
        <v>1</v>
      </c>
      <c r="BB83" s="141">
        <f>IF(VLOOKUP(BB$2,'TIS Site Config'!$A$4:$AQ$51,3,FALSE)&lt;&gt;"Soft",
          IF(
                        AND(VLOOKUP(BB$2,'TIS Site Config'!$A$3:$AQ$51,6,FALSE)="Heated",
                            OR(VLOOKUP(BB$2,'TIS Site Config'!$A$3:$AQ$51,13,FALSE)="Heavy",
                                    VLOOKUP(BB$2,'TIS Site Config'!$A$3:$AQ$51,13,FALSE)="Extreme")),
                              1,0),0)</f>
        <v>0</v>
      </c>
      <c r="BC83" s="250">
        <f>IF(VLOOKUP(BC$2,'TIS Site Config'!$A$4:$AQ$51,3,FALSE)&lt;&gt;"Soft",
          IF(
                        AND(VLOOKUP(BC$2,'TIS Site Config'!$A$3:$AQ$51,6,FALSE)="Heated",
                            OR(VLOOKUP(BC$2,'TIS Site Config'!$A$3:$AQ$51,13,FALSE)="Heavy",
                                    VLOOKUP(BC$2,'TIS Site Config'!$A$3:$AQ$51,13,FALSE)="Extreme")),
                              1,0),0)</f>
        <v>0</v>
      </c>
      <c r="BD83" s="141">
        <f>IF(VLOOKUP(BD$2,'TIS Site Config'!$A$4:$AQ$51,3,FALSE)&lt;&gt;"Soft",
          IF(
                        AND(VLOOKUP(BD$2,'TIS Site Config'!$A$3:$AQ$51,6,FALSE)="Heated",
                            OR(VLOOKUP(BD$2,'TIS Site Config'!$A$3:$AQ$51,13,FALSE)="Heavy",
                                    VLOOKUP(BD$2,'TIS Site Config'!$A$3:$AQ$51,13,FALSE)="Extreme")),
                              1,0),0)</f>
        <v>0</v>
      </c>
      <c r="BE83" s="299">
        <f>IF(VLOOKUP(BE$2,'TIS Site Config'!$A$4:$AQ$51,3,FALSE)&lt;&gt;"Soft",
          IF(
                        AND(VLOOKUP(BE$2,'TIS Site Config'!$A$3:$AQ$51,6,FALSE)="Heated",
                            OR(VLOOKUP(BE$2,'TIS Site Config'!$A$3:$AQ$51,13,FALSE)="Heavy",
                                    VLOOKUP(BE$2,'TIS Site Config'!$A$3:$AQ$51,13,FALSE)="Extreme")),
                              1,0),0)</f>
        <v>0</v>
      </c>
      <c r="BF83" s="250">
        <f>IF(VLOOKUP(BF$2,'TIS Site Config'!$A$4:$AQ$51,3,FALSE)&lt;&gt;"Soft",
          IF(
                        AND(VLOOKUP(BF$2,'TIS Site Config'!$A$3:$AQ$51,6,FALSE)="Heated",
                            OR(VLOOKUP(BF$2,'TIS Site Config'!$A$3:$AQ$51,13,FALSE)="Heavy",
                                    VLOOKUP(BF$2,'TIS Site Config'!$A$3:$AQ$51,13,FALSE)="Extreme")),
                              1,0),0)</f>
        <v>0</v>
      </c>
      <c r="BG83" s="253">
        <f>IF(VLOOKUP(BG$2,'TIS Site Config'!$A$4:$AQ$51,3,FALSE)&lt;&gt;"Soft",
          IF(
                        AND(VLOOKUP(BG$2,'TIS Site Config'!$A$3:$AQ$51,6,FALSE)="Heated",
                            OR(VLOOKUP(BG$2,'TIS Site Config'!$A$3:$AQ$51,13,FALSE)="Heavy",
                                    VLOOKUP(BG$2,'TIS Site Config'!$A$3:$AQ$51,13,FALSE)="Extreme")),
                              1,0),0)</f>
        <v>0</v>
      </c>
      <c r="BH83" s="253">
        <f>IF(VLOOKUP(BH$2,'TIS Site Config'!$A$4:$AQ$51,3,FALSE)&lt;&gt;"Soft",
          IF(
                        AND(VLOOKUP(BH$2,'TIS Site Config'!$A$3:$AQ$51,6,FALSE)="Heated",
                            OR(VLOOKUP(BH$2,'TIS Site Config'!$A$3:$AQ$51,13,FALSE)="Heavy",
                                    VLOOKUP(BH$2,'TIS Site Config'!$A$3:$AQ$51,13,FALSE)="Extreme")),
                              1,0),0)</f>
        <v>0</v>
      </c>
      <c r="BK83" s="44">
        <v>9</v>
      </c>
      <c r="BL83" s="950" t="b">
        <f t="shared" si="6"/>
        <v>0</v>
      </c>
      <c r="BO83" s="950"/>
    </row>
    <row r="84" spans="1:67" s="44" customFormat="1" x14ac:dyDescent="0.25">
      <c r="A84" s="1366"/>
      <c r="B84" s="1372"/>
      <c r="C84" s="57" t="s">
        <v>482</v>
      </c>
      <c r="D84" s="90">
        <v>4</v>
      </c>
      <c r="E84" s="114" t="s">
        <v>477</v>
      </c>
      <c r="F84" s="253">
        <f t="shared" si="5"/>
        <v>14</v>
      </c>
      <c r="G84" s="456"/>
      <c r="H84" s="457"/>
      <c r="I84" s="457"/>
      <c r="J84" s="457"/>
      <c r="K84" s="458"/>
      <c r="L84" s="493"/>
      <c r="M84" s="141">
        <f>IF(VLOOKUP(M$2,'TIS Site Config'!$A$4:$AQ$51,3,FALSE)&lt;&gt;"Soft",
          IF(
          VLOOKUP(M$2,'TIS Site Config'!$A$3:$AQ$51,6,FALSE)="Extreme Heated",
                 (VLOOKUP(M$2,'TIS Site Config'!$A$3:$AQ$51,17,FALSE)-2),0),0)</f>
        <v>0</v>
      </c>
      <c r="N84" s="250">
        <f>IF(VLOOKUP(N$2,'TIS Site Config'!$A$4:$AQ$51,3,FALSE)&lt;&gt;"Soft",
          IF(
          VLOOKUP(N$2,'TIS Site Config'!$A$3:$AQ$51,6,FALSE)="Extreme Heated",
                 (VLOOKUP(N$2,'TIS Site Config'!$A$3:$AQ$51,17,FALSE)-2),0),0)</f>
        <v>0</v>
      </c>
      <c r="O84" s="255">
        <f>IF(VLOOKUP(O$2,'TIS Site Config'!$A$4:$AQ$51,3,FALSE)&lt;&gt;"Soft",
          IF(
          VLOOKUP(O$2,'TIS Site Config'!$A$3:$AQ$51,6,FALSE)="Extreme Heated",
                 (VLOOKUP(O$2,'TIS Site Config'!$A$3:$AQ$51,17,FALSE)-2),0),0)</f>
        <v>0</v>
      </c>
      <c r="P84" s="299">
        <f>IF(VLOOKUP(P$2,'TIS Site Config'!$A$4:$AQ$51,3,FALSE)&lt;&gt;"Soft",
          IF(
          VLOOKUP(P$2,'TIS Site Config'!$A$3:$AQ$51,6,FALSE)="Extreme Heated",
                 (VLOOKUP(P$2,'TIS Site Config'!$A$3:$AQ$51,17,FALSE)-2),0),0)</f>
        <v>0</v>
      </c>
      <c r="Q84" s="250">
        <f>IF(VLOOKUP(Q$2,'TIS Site Config'!$A$4:$AQ$51,3,FALSE)&lt;&gt;"Soft",
          IF(
          VLOOKUP(Q$2,'TIS Site Config'!$A$3:$AQ$51,6,FALSE)="Extreme Heated",
                 (VLOOKUP(Q$2,'TIS Site Config'!$A$3:$AQ$51,17,FALSE)-2),0),0)</f>
        <v>0</v>
      </c>
      <c r="R84" s="141">
        <f>IF(VLOOKUP(R$2,'TIS Site Config'!$A$4:$AQ$51,3,FALSE)&lt;&gt;"Soft",
          IF(
          VLOOKUP(R$2,'TIS Site Config'!$A$3:$AQ$51,6,FALSE)="Extreme Heated",
                 (VLOOKUP(R$2,'TIS Site Config'!$A$3:$AQ$51,17,FALSE)-2),0),0)</f>
        <v>0</v>
      </c>
      <c r="S84" s="299">
        <f>IF(VLOOKUP(S$2,'TIS Site Config'!$A$4:$AQ$51,3,FALSE)&lt;&gt;"Soft",
          IF(
          VLOOKUP(S$2,'TIS Site Config'!$A$3:$AQ$51,6,FALSE)="Extreme Heated",
                 (VLOOKUP(S$2,'TIS Site Config'!$A$3:$AQ$51,17,FALSE)-2),0),0)</f>
        <v>0</v>
      </c>
      <c r="T84" s="250">
        <f>IF(VLOOKUP(T$2,'TIS Site Config'!$A$4:$AQ$51,3,FALSE)&lt;&gt;"Soft",
          IF(
          VLOOKUP(T$2,'TIS Site Config'!$A$3:$AQ$51,6,FALSE)="Extreme Heated",
                 (VLOOKUP(T$2,'TIS Site Config'!$A$3:$AQ$51,17,FALSE)-2),0),0)</f>
        <v>0</v>
      </c>
      <c r="U84" s="141">
        <f>IF(VLOOKUP(U$2,'TIS Site Config'!$A$4:$AQ$51,3,FALSE)&lt;&gt;"Soft",
          IF(
          VLOOKUP(U$2,'TIS Site Config'!$A$3:$AQ$51,6,FALSE)="Extreme Heated",
                 (VLOOKUP(U$2,'TIS Site Config'!$A$3:$AQ$51,17,FALSE)-2),0),0)</f>
        <v>0</v>
      </c>
      <c r="V84" s="250">
        <f>IF(VLOOKUP(V$2,'TIS Site Config'!$A$4:$AQ$51,3,FALSE)&lt;&gt;"Soft",
          IF(
          VLOOKUP(V$2,'TIS Site Config'!$A$3:$AQ$51,6,FALSE)="Extreme Heated",
                 (VLOOKUP(V$2,'TIS Site Config'!$A$3:$AQ$51,17,FALSE)-2),0),0)</f>
        <v>0</v>
      </c>
      <c r="W84" s="254">
        <f>IF(VLOOKUP(W$2,'TIS Site Config'!$A$4:$AQ$51,3,FALSE)&lt;&gt;"Soft",
          IF(
          VLOOKUP(W$2,'TIS Site Config'!$A$3:$AQ$51,6,FALSE)="Extreme Heated",
                 (VLOOKUP(W$2,'TIS Site Config'!$A$3:$AQ$51,17,FALSE)-2),0),0)</f>
        <v>0</v>
      </c>
      <c r="X84" s="299">
        <f>IF(VLOOKUP(X$2,'TIS Site Config'!$A$4:$AQ$51,3,FALSE)&lt;&gt;"Soft",
          IF(
          VLOOKUP(X$2,'TIS Site Config'!$A$3:$AQ$51,6,FALSE)="Extreme Heated",
                 (VLOOKUP(X$2,'TIS Site Config'!$A$3:$AQ$51,17,FALSE)-2),0),0)</f>
        <v>0</v>
      </c>
      <c r="Y84" s="250">
        <f>IF(VLOOKUP(Y$2,'TIS Site Config'!$A$4:$AQ$51,3,FALSE)&lt;&gt;"Soft",
          IF(
          VLOOKUP(Y$2,'TIS Site Config'!$A$3:$AQ$51,6,FALSE)="Extreme Heated",
                 (VLOOKUP(Y$2,'TIS Site Config'!$A$3:$AQ$51,17,FALSE)-2),0),0)</f>
        <v>0</v>
      </c>
      <c r="Z84" s="141">
        <f>IF(VLOOKUP(Z$2,'TIS Site Config'!$A$4:$AQ$51,3,FALSE)&lt;&gt;"Soft",
          IF(
          VLOOKUP(Z$2,'TIS Site Config'!$A$3:$AQ$51,6,FALSE)="Extreme Heated",
                 (VLOOKUP(Z$2,'TIS Site Config'!$A$3:$AQ$51,17,FALSE)-2),0),0)</f>
        <v>0</v>
      </c>
      <c r="AA84" s="299">
        <f>IF(VLOOKUP(AA$2,'TIS Site Config'!$A$4:$AQ$51,3,FALSE)&lt;&gt;"Soft",
          IF(
          VLOOKUP(AA$2,'TIS Site Config'!$A$3:$AQ$51,6,FALSE)="Extreme Heated",
                 (VLOOKUP(AA$2,'TIS Site Config'!$A$3:$AQ$51,17,FALSE)-2),0),0)</f>
        <v>0</v>
      </c>
      <c r="AB84" s="250">
        <f>IF(VLOOKUP(AB$2,'TIS Site Config'!$A$4:$AQ$51,3,FALSE)&lt;&gt;"Soft",
          IF(
          VLOOKUP(AB$2,'TIS Site Config'!$A$3:$AQ$51,6,FALSE)="Extreme Heated",
                 (VLOOKUP(AB$2,'TIS Site Config'!$A$3:$AQ$51,17,FALSE)-2),0),0)</f>
        <v>0</v>
      </c>
      <c r="AC84" s="299">
        <f>IF(VLOOKUP(AC$2,'TIS Site Config'!$A$4:$AQ$51,3,FALSE)&lt;&gt;"Soft",
          IF(
          VLOOKUP(AC$2,'TIS Site Config'!$A$3:$AQ$51,6,FALSE)="Extreme Heated",
                 (VLOOKUP(AC$2,'TIS Site Config'!$A$3:$AQ$51,17,FALSE)-2),0),0)</f>
        <v>0</v>
      </c>
      <c r="AD84" s="251">
        <f>IF(VLOOKUP(AD$2,'TIS Site Config'!$A$4:$AQ$51,3,FALSE)&lt;&gt;"Soft",
          IF(
          VLOOKUP(AD$2,'TIS Site Config'!$A$3:$AQ$51,6,FALSE)="Extreme Heated",
                 (VLOOKUP(AD$2,'TIS Site Config'!$A$3:$AQ$51,17,FALSE)-2),0),0)</f>
        <v>0</v>
      </c>
      <c r="AE84" s="251">
        <f>IF(VLOOKUP(AE$2,'TIS Site Config'!$A$4:$AQ$51,3,FALSE)&lt;&gt;"Soft",
          IF(
          VLOOKUP(AE$2,'TIS Site Config'!$A$3:$AQ$51,6,FALSE)="Extreme Heated",
                 (VLOOKUP(AE$2,'TIS Site Config'!$A$3:$AQ$51,17,FALSE)-2),0),0)</f>
        <v>0</v>
      </c>
      <c r="AF84" s="252">
        <f>IF(VLOOKUP(AF$2,'TIS Site Config'!$A$4:$AQ$51,3,FALSE)&lt;&gt;"Soft",
          IF(
          VLOOKUP(AF$2,'TIS Site Config'!$A$3:$AQ$51,6,FALSE)="Extreme Heated",
                 (VLOOKUP(AF$2,'TIS Site Config'!$A$3:$AQ$51,17,FALSE)-2),0),0)</f>
        <v>0</v>
      </c>
      <c r="AG84" s="299">
        <f>IF(VLOOKUP(AG$2,'TIS Site Config'!$A$4:$AQ$51,3,FALSE)&lt;&gt;"Soft",
          IF(
          VLOOKUP(AG$2,'TIS Site Config'!$A$3:$AQ$51,6,FALSE)="Extreme Heated",
                 (VLOOKUP(AG$2,'TIS Site Config'!$A$3:$AQ$51,17,FALSE)-2),0),0)</f>
        <v>0</v>
      </c>
      <c r="AH84" s="250">
        <f>IF(VLOOKUP(AH$2,'TIS Site Config'!$A$4:$AQ$51,3,FALSE)&lt;&gt;"Soft",
          IF(
          VLOOKUP(AH$2,'TIS Site Config'!$A$3:$AQ$51,6,FALSE)="Extreme Heated",
                 (VLOOKUP(AH$2,'TIS Site Config'!$A$3:$AQ$51,17,FALSE)-2),0),0)</f>
        <v>0</v>
      </c>
      <c r="AI84" s="141">
        <f>IF(VLOOKUP(AI$2,'TIS Site Config'!$A$4:$AQ$51,3,FALSE)&lt;&gt;"Soft",
          IF(
          VLOOKUP(AI$2,'TIS Site Config'!$A$3:$AQ$51,6,FALSE)="Extreme Heated",
                 (VLOOKUP(AI$2,'TIS Site Config'!$A$3:$AQ$51,17,FALSE)-2),0),0)</f>
        <v>0</v>
      </c>
      <c r="AJ84" s="299">
        <f>IF(VLOOKUP(AJ$2,'TIS Site Config'!$A$4:$AQ$51,3,FALSE)&lt;&gt;"Soft",
          IF(
          VLOOKUP(AJ$2,'TIS Site Config'!$A$3:$AQ$51,6,FALSE)="Extreme Heated",
                 (VLOOKUP(AJ$2,'TIS Site Config'!$A$3:$AQ$51,17,FALSE)-2),0),0)</f>
        <v>0</v>
      </c>
      <c r="AK84" s="250">
        <f>IF(VLOOKUP(AK$2,'TIS Site Config'!$A$4:$AQ$51,3,FALSE)&lt;&gt;"Soft",
          IF(
          VLOOKUP(AK$2,'TIS Site Config'!$A$3:$AQ$51,6,FALSE)="Extreme Heated",
                 (VLOOKUP(AK$2,'TIS Site Config'!$A$3:$AQ$51,17,FALSE)-2),0),0)</f>
        <v>0</v>
      </c>
      <c r="AL84" s="141">
        <f>IF(VLOOKUP(AL$2,'TIS Site Config'!$A$4:$AQ$51,3,FALSE)&lt;&gt;"Soft",
          IF(
          VLOOKUP(AL$2,'TIS Site Config'!$A$3:$AQ$51,6,FALSE)="Extreme Heated",
                 (VLOOKUP(AL$2,'TIS Site Config'!$A$3:$AQ$51,17,FALSE)-2),0),0)</f>
        <v>0</v>
      </c>
      <c r="AM84" s="299">
        <f>IF(VLOOKUP(AM$2,'TIS Site Config'!$A$4:$AQ$51,3,FALSE)&lt;&gt;"Soft",
          IF(
          VLOOKUP(AM$2,'TIS Site Config'!$A$3:$AQ$51,6,FALSE)="Extreme Heated",
                 (VLOOKUP(AM$2,'TIS Site Config'!$A$3:$AQ$51,17,FALSE)-2),0),0)</f>
        <v>0</v>
      </c>
      <c r="AN84" s="250">
        <f>IF(VLOOKUP(AN$2,'TIS Site Config'!$A$4:$AQ$51,3,FALSE)&lt;&gt;"Soft",
          IF(
          VLOOKUP(AN$2,'TIS Site Config'!$A$3:$AQ$51,6,FALSE)="Extreme Heated",
                 (VLOOKUP(AN$2,'TIS Site Config'!$A$3:$AQ$51,17,FALSE)-2),0),0)</f>
        <v>0</v>
      </c>
      <c r="AO84" s="141">
        <f>IF(VLOOKUP(AO$2,'TIS Site Config'!$A$4:$AQ$51,3,FALSE)&lt;&gt;"Soft",
          IF(
          VLOOKUP(AO$2,'TIS Site Config'!$A$3:$AQ$51,6,FALSE)="Extreme Heated",
                 (VLOOKUP(AO$2,'TIS Site Config'!$A$3:$AQ$51,17,FALSE)-2),0),0)</f>
        <v>0</v>
      </c>
      <c r="AP84" s="299">
        <f>IF(VLOOKUP(AP$2,'TIS Site Config'!$A$4:$AQ$51,3,FALSE)&lt;&gt;"Soft",
          IF(
          VLOOKUP(AP$2,'TIS Site Config'!$A$3:$AQ$51,6,FALSE)="Extreme Heated",
                 (VLOOKUP(AP$2,'TIS Site Config'!$A$3:$AQ$51,17,FALSE)-2),0),0)</f>
        <v>0</v>
      </c>
      <c r="AQ84" s="141">
        <f>IF(VLOOKUP(AQ$2,'TIS Site Config'!$A$4:$AQ$51,3,FALSE)&lt;&gt;"Soft",
          IF(
          VLOOKUP(AQ$2,'TIS Site Config'!$A$3:$AQ$51,6,FALSE)="Extreme Heated",
                 (VLOOKUP(AQ$2,'TIS Site Config'!$A$3:$AQ$51,17,FALSE)-2),0),0)</f>
        <v>0</v>
      </c>
      <c r="AR84" s="141">
        <f>IF(VLOOKUP(AR$2,'TIS Site Config'!$A$4:$AQ$51,3,FALSE)&lt;&gt;"Soft",
          IF(
          VLOOKUP(AR$2,'TIS Site Config'!$A$3:$AQ$51,6,FALSE)="Extreme Heated",
                 (VLOOKUP(AR$2,'TIS Site Config'!$A$3:$AQ$51,17,FALSE)-2),0),0)</f>
        <v>2</v>
      </c>
      <c r="AS84" s="299">
        <f>IF(VLOOKUP(AS$2,'TIS Site Config'!$A$4:$AQ$51,3,FALSE)&lt;&gt;"Soft",
          IF(
          VLOOKUP(AS$2,'TIS Site Config'!$A$3:$AQ$51,6,FALSE)="Extreme Heated",
                 (VLOOKUP(AS$2,'TIS Site Config'!$A$3:$AQ$51,17,FALSE)-2),0),0)</f>
        <v>0</v>
      </c>
      <c r="AT84" s="141">
        <f>IF(VLOOKUP(AT$2,'TIS Site Config'!$A$4:$AQ$51,3,FALSE)&lt;&gt;"Soft",
          IF(
          VLOOKUP(AT$2,'TIS Site Config'!$A$3:$AQ$51,6,FALSE)="Extreme Heated",
                 (VLOOKUP(AT$2,'TIS Site Config'!$A$3:$AQ$51,17,FALSE)-2),0),0)</f>
        <v>0</v>
      </c>
      <c r="AU84" s="299">
        <f>IF(VLOOKUP(AU$2,'TIS Site Config'!$A$4:$AQ$51,3,FALSE)&lt;&gt;"Soft",
          IF(
          VLOOKUP(AU$2,'TIS Site Config'!$A$3:$AQ$51,6,FALSE)="Extreme Heated",
                 (VLOOKUP(AU$2,'TIS Site Config'!$A$3:$AQ$51,17,FALSE)-2),0),0)</f>
        <v>0</v>
      </c>
      <c r="AV84" s="141">
        <f>IF(VLOOKUP(AV$2,'TIS Site Config'!$A$4:$AQ$51,3,FALSE)&lt;&gt;"Soft",
          IF(
          VLOOKUP(AV$2,'TIS Site Config'!$A$3:$AQ$51,6,FALSE)="Extreme Heated",
                 (VLOOKUP(AV$2,'TIS Site Config'!$A$3:$AQ$51,17,FALSE)-2),0),0)</f>
        <v>0</v>
      </c>
      <c r="AW84" s="141">
        <f>IF(VLOOKUP(AW$2,'TIS Site Config'!$A$4:$AQ$51,3,FALSE)&lt;&gt;"Soft",
          IF(
          VLOOKUP(AW$2,'TIS Site Config'!$A$3:$AQ$51,6,FALSE)="Extreme Heated",
                 (VLOOKUP(AW$2,'TIS Site Config'!$A$3:$AQ$51,17,FALSE)-2),0),0)</f>
        <v>0</v>
      </c>
      <c r="AX84" s="250">
        <f>IF(VLOOKUP(AX$2,'TIS Site Config'!$A$4:$AQ$51,3,FALSE)&lt;&gt;"Soft",
          IF(
          VLOOKUP(AX$2,'TIS Site Config'!$A$3:$AQ$51,6,FALSE)="Extreme Heated",
                 (VLOOKUP(AX$2,'TIS Site Config'!$A$3:$AQ$51,17,FALSE)-2),0),0)</f>
        <v>0</v>
      </c>
      <c r="AY84" s="141">
        <f>IF(VLOOKUP(AY$2,'TIS Site Config'!$A$4:$AQ$51,3,FALSE)&lt;&gt;"Soft",
          IF(
          VLOOKUP(AY$2,'TIS Site Config'!$A$3:$AQ$51,6,FALSE)="Extreme Heated",
                 (VLOOKUP(AY$2,'TIS Site Config'!$A$3:$AQ$51,17,FALSE)-2),0),0)</f>
        <v>0</v>
      </c>
      <c r="AZ84" s="299">
        <f>IF(VLOOKUP(AZ$2,'TIS Site Config'!$A$4:$AQ$51,3,FALSE)&lt;&gt;"Soft",
          IF(
          VLOOKUP(AZ$2,'TIS Site Config'!$A$3:$AQ$51,6,FALSE)="Extreme Heated",
                 (VLOOKUP(AZ$2,'TIS Site Config'!$A$3:$AQ$51,17,FALSE)-2),0),0)</f>
        <v>0</v>
      </c>
      <c r="BA84" s="251">
        <f>IF(VLOOKUP(BA$2,'TIS Site Config'!$A$4:$AQ$51,3,FALSE)&lt;&gt;"Soft",
          IF(
          VLOOKUP(BA$2,'TIS Site Config'!$A$3:$AQ$51,6,FALSE)="Extreme Heated",
                 (VLOOKUP(BA$2,'TIS Site Config'!$A$3:$AQ$51,17,FALSE)-2),0),0)</f>
        <v>0</v>
      </c>
      <c r="BB84" s="141">
        <f>IF(VLOOKUP(BB$2,'TIS Site Config'!$A$4:$AQ$51,3,FALSE)&lt;&gt;"Soft",
          IF(
          VLOOKUP(BB$2,'TIS Site Config'!$A$3:$AQ$51,6,FALSE)="Extreme Heated",
                 (VLOOKUP(BB$2,'TIS Site Config'!$A$3:$AQ$51,17,FALSE)-2),0),0)</f>
        <v>2</v>
      </c>
      <c r="BC84" s="250">
        <f>IF(VLOOKUP(BC$2,'TIS Site Config'!$A$4:$AQ$51,3,FALSE)&lt;&gt;"Soft",
          IF(
          VLOOKUP(BC$2,'TIS Site Config'!$A$3:$AQ$51,6,FALSE)="Extreme Heated",
                 (VLOOKUP(BC$2,'TIS Site Config'!$A$3:$AQ$51,17,FALSE)-2),0),0)</f>
        <v>2</v>
      </c>
      <c r="BD84" s="141">
        <f>IF(VLOOKUP(BD$2,'TIS Site Config'!$A$4:$AQ$51,3,FALSE)&lt;&gt;"Soft",
          IF(
          VLOOKUP(BD$2,'TIS Site Config'!$A$3:$AQ$51,6,FALSE)="Extreme Heated",
                 (VLOOKUP(BD$2,'TIS Site Config'!$A$3:$AQ$51,17,FALSE)-2),0),0)</f>
        <v>3</v>
      </c>
      <c r="BE84" s="299">
        <f>IF(VLOOKUP(BE$2,'TIS Site Config'!$A$4:$AQ$51,3,FALSE)&lt;&gt;"Soft",
          IF(
          VLOOKUP(BE$2,'TIS Site Config'!$A$3:$AQ$51,6,FALSE)="Extreme Heated",
                 (VLOOKUP(BE$2,'TIS Site Config'!$A$3:$AQ$51,17,FALSE)-2),0),0)</f>
        <v>3</v>
      </c>
      <c r="BF84" s="250">
        <f>IF(VLOOKUP(BF$2,'TIS Site Config'!$A$4:$AQ$51,3,FALSE)&lt;&gt;"Soft",
          IF(
          VLOOKUP(BF$2,'TIS Site Config'!$A$3:$AQ$51,6,FALSE)="Extreme Heated",
                 (VLOOKUP(BF$2,'TIS Site Config'!$A$3:$AQ$51,17,FALSE)-2),0),0)</f>
        <v>2</v>
      </c>
      <c r="BG84" s="253">
        <f>IF(VLOOKUP(BG$2,'TIS Site Config'!$A$4:$AQ$51,3,FALSE)&lt;&gt;"Soft",
          IF(
          VLOOKUP(BG$2,'TIS Site Config'!$A$3:$AQ$51,6,FALSE)="Extreme Heated",
                 (VLOOKUP(BG$2,'TIS Site Config'!$A$3:$AQ$51,17,FALSE)-2),0),0)</f>
        <v>0</v>
      </c>
      <c r="BH84" s="253">
        <f>IF(VLOOKUP(BH$2,'TIS Site Config'!$A$4:$AQ$51,3,FALSE)&lt;&gt;"Soft",
          IF(
          VLOOKUP(BH$2,'TIS Site Config'!$A$3:$AQ$51,6,FALSE)="Extreme Heated",
                 (VLOOKUP(BH$2,'TIS Site Config'!$A$3:$AQ$51,17,FALSE)-2),0),0)</f>
        <v>0</v>
      </c>
      <c r="BK84" s="44">
        <v>17</v>
      </c>
      <c r="BL84" s="950" t="b">
        <f t="shared" si="6"/>
        <v>0</v>
      </c>
      <c r="BO84" s="950"/>
    </row>
    <row r="85" spans="1:67" s="44" customFormat="1" x14ac:dyDescent="0.25">
      <c r="A85" s="1366"/>
      <c r="B85" s="1372"/>
      <c r="C85" s="57" t="s">
        <v>481</v>
      </c>
      <c r="D85" s="90">
        <v>4</v>
      </c>
      <c r="E85" s="114" t="s">
        <v>478</v>
      </c>
      <c r="F85" s="253">
        <f t="shared" si="5"/>
        <v>3</v>
      </c>
      <c r="G85" s="456"/>
      <c r="H85" s="457"/>
      <c r="I85" s="457"/>
      <c r="J85" s="457"/>
      <c r="K85" s="458"/>
      <c r="L85" s="493"/>
      <c r="M85" s="141">
        <f>IF(VLOOKUP(M$2,'TIS Site Config'!$A$4:$AQ$51,3,FALSE)&lt;&gt;"Soft",
          IF(
                        AND(VLOOKUP(M$2,'TIS Site Config'!$A$3:$AQ$51,6,FALSE)="Extreme Heated",
                                   VLOOKUP(M$2,'TIS Site Config'!$A$3:$AQ$51,13,FALSE)="Standard"),
                              1,0),0)</f>
        <v>0</v>
      </c>
      <c r="N85" s="250">
        <f>IF(VLOOKUP(N$2,'TIS Site Config'!$A$4:$AQ$51,3,FALSE)&lt;&gt;"Soft",
          IF(
                        AND(VLOOKUP(N$2,'TIS Site Config'!$A$3:$AQ$51,6,FALSE)="Extreme Heated",
                                   VLOOKUP(N$2,'TIS Site Config'!$A$3:$AQ$51,13,FALSE)="Standard"),
                              1,0),0)</f>
        <v>0</v>
      </c>
      <c r="O85" s="255">
        <f>IF(VLOOKUP(O$2,'TIS Site Config'!$A$4:$AQ$51,3,FALSE)&lt;&gt;"Soft",
          IF(
                        AND(VLOOKUP(O$2,'TIS Site Config'!$A$3:$AQ$51,6,FALSE)="Extreme Heated",
                                   VLOOKUP(O$2,'TIS Site Config'!$A$3:$AQ$51,13,FALSE)="Standard"),
                              1,0),0)</f>
        <v>0</v>
      </c>
      <c r="P85" s="299">
        <f>IF(VLOOKUP(P$2,'TIS Site Config'!$A$4:$AQ$51,3,FALSE)&lt;&gt;"Soft",
          IF(
                        AND(VLOOKUP(P$2,'TIS Site Config'!$A$3:$AQ$51,6,FALSE)="Extreme Heated",
                                   VLOOKUP(P$2,'TIS Site Config'!$A$3:$AQ$51,13,FALSE)="Standard"),
                              1,0),0)</f>
        <v>0</v>
      </c>
      <c r="Q85" s="250">
        <f>IF(VLOOKUP(Q$2,'TIS Site Config'!$A$4:$AQ$51,3,FALSE)&lt;&gt;"Soft",
          IF(
                        AND(VLOOKUP(Q$2,'TIS Site Config'!$A$3:$AQ$51,6,FALSE)="Extreme Heated",
                                   VLOOKUP(Q$2,'TIS Site Config'!$A$3:$AQ$51,13,FALSE)="Standard"),
                              1,0),0)</f>
        <v>0</v>
      </c>
      <c r="R85" s="141">
        <f>IF(VLOOKUP(R$2,'TIS Site Config'!$A$4:$AQ$51,3,FALSE)&lt;&gt;"Soft",
          IF(
                        AND(VLOOKUP(R$2,'TIS Site Config'!$A$3:$AQ$51,6,FALSE)="Extreme Heated",
                                   VLOOKUP(R$2,'TIS Site Config'!$A$3:$AQ$51,13,FALSE)="Standard"),
                              1,0),0)</f>
        <v>0</v>
      </c>
      <c r="S85" s="299">
        <f>IF(VLOOKUP(S$2,'TIS Site Config'!$A$4:$AQ$51,3,FALSE)&lt;&gt;"Soft",
          IF(
                        AND(VLOOKUP(S$2,'TIS Site Config'!$A$3:$AQ$51,6,FALSE)="Extreme Heated",
                                   VLOOKUP(S$2,'TIS Site Config'!$A$3:$AQ$51,13,FALSE)="Standard"),
                              1,0),0)</f>
        <v>0</v>
      </c>
      <c r="T85" s="250">
        <f>IF(VLOOKUP(T$2,'TIS Site Config'!$A$4:$AQ$51,3,FALSE)&lt;&gt;"Soft",
          IF(
                        AND(VLOOKUP(T$2,'TIS Site Config'!$A$3:$AQ$51,6,FALSE)="Extreme Heated",
                                   VLOOKUP(T$2,'TIS Site Config'!$A$3:$AQ$51,13,FALSE)="Standard"),
                              1,0),0)</f>
        <v>0</v>
      </c>
      <c r="U85" s="141">
        <f>IF(VLOOKUP(U$2,'TIS Site Config'!$A$4:$AQ$51,3,FALSE)&lt;&gt;"Soft",
          IF(
                        AND(VLOOKUP(U$2,'TIS Site Config'!$A$3:$AQ$51,6,FALSE)="Extreme Heated",
                                   VLOOKUP(U$2,'TIS Site Config'!$A$3:$AQ$51,13,FALSE)="Standard"),
                              1,0),0)</f>
        <v>0</v>
      </c>
      <c r="V85" s="250">
        <f>IF(VLOOKUP(V$2,'TIS Site Config'!$A$4:$AQ$51,3,FALSE)&lt;&gt;"Soft",
          IF(
                        AND(VLOOKUP(V$2,'TIS Site Config'!$A$3:$AQ$51,6,FALSE)="Extreme Heated",
                                   VLOOKUP(V$2,'TIS Site Config'!$A$3:$AQ$51,13,FALSE)="Standard"),
                              1,0),0)</f>
        <v>0</v>
      </c>
      <c r="W85" s="254">
        <f>IF(VLOOKUP(W$2,'TIS Site Config'!$A$4:$AQ$51,3,FALSE)&lt;&gt;"Soft",
          IF(
                        AND(VLOOKUP(W$2,'TIS Site Config'!$A$3:$AQ$51,6,FALSE)="Extreme Heated",
                                   VLOOKUP(W$2,'TIS Site Config'!$A$3:$AQ$51,13,FALSE)="Standard"),
                              1,0),0)</f>
        <v>0</v>
      </c>
      <c r="X85" s="299">
        <f>IF(VLOOKUP(X$2,'TIS Site Config'!$A$4:$AQ$51,3,FALSE)&lt;&gt;"Soft",
          IF(
                        AND(VLOOKUP(X$2,'TIS Site Config'!$A$3:$AQ$51,6,FALSE)="Extreme Heated",
                                   VLOOKUP(X$2,'TIS Site Config'!$A$3:$AQ$51,13,FALSE)="Standard"),
                              1,0),0)</f>
        <v>0</v>
      </c>
      <c r="Y85" s="250">
        <f>IF(VLOOKUP(Y$2,'TIS Site Config'!$A$4:$AQ$51,3,FALSE)&lt;&gt;"Soft",
          IF(
                        AND(VLOOKUP(Y$2,'TIS Site Config'!$A$3:$AQ$51,6,FALSE)="Extreme Heated",
                                   VLOOKUP(Y$2,'TIS Site Config'!$A$3:$AQ$51,13,FALSE)="Standard"),
                              1,0),0)</f>
        <v>0</v>
      </c>
      <c r="Z85" s="141">
        <f>IF(VLOOKUP(Z$2,'TIS Site Config'!$A$4:$AQ$51,3,FALSE)&lt;&gt;"Soft",
          IF(
                        AND(VLOOKUP(Z$2,'TIS Site Config'!$A$3:$AQ$51,6,FALSE)="Extreme Heated",
                                   VLOOKUP(Z$2,'TIS Site Config'!$A$3:$AQ$51,13,FALSE)="Standard"),
                              1,0),0)</f>
        <v>0</v>
      </c>
      <c r="AA85" s="299">
        <f>IF(VLOOKUP(AA$2,'TIS Site Config'!$A$4:$AQ$51,3,FALSE)&lt;&gt;"Soft",
          IF(
                        AND(VLOOKUP(AA$2,'TIS Site Config'!$A$3:$AQ$51,6,FALSE)="Extreme Heated",
                                   VLOOKUP(AA$2,'TIS Site Config'!$A$3:$AQ$51,13,FALSE)="Standard"),
                              1,0),0)</f>
        <v>0</v>
      </c>
      <c r="AB85" s="250">
        <f>IF(VLOOKUP(AB$2,'TIS Site Config'!$A$4:$AQ$51,3,FALSE)&lt;&gt;"Soft",
          IF(
                        AND(VLOOKUP(AB$2,'TIS Site Config'!$A$3:$AQ$51,6,FALSE)="Extreme Heated",
                                   VLOOKUP(AB$2,'TIS Site Config'!$A$3:$AQ$51,13,FALSE)="Standard"),
                              1,0),0)</f>
        <v>0</v>
      </c>
      <c r="AC85" s="299">
        <f>IF(VLOOKUP(AC$2,'TIS Site Config'!$A$4:$AQ$51,3,FALSE)&lt;&gt;"Soft",
          IF(
                        AND(VLOOKUP(AC$2,'TIS Site Config'!$A$3:$AQ$51,6,FALSE)="Extreme Heated",
                                   VLOOKUP(AC$2,'TIS Site Config'!$A$3:$AQ$51,13,FALSE)="Standard"),
                              1,0),0)</f>
        <v>0</v>
      </c>
      <c r="AD85" s="251">
        <f>IF(VLOOKUP(AD$2,'TIS Site Config'!$A$4:$AQ$51,3,FALSE)&lt;&gt;"Soft",
          IF(
                        AND(VLOOKUP(AD$2,'TIS Site Config'!$A$3:$AQ$51,6,FALSE)="Extreme Heated",
                                   VLOOKUP(AD$2,'TIS Site Config'!$A$3:$AQ$51,13,FALSE)="Standard"),
                              1,0),0)</f>
        <v>0</v>
      </c>
      <c r="AE85" s="251">
        <f>IF(VLOOKUP(AE$2,'TIS Site Config'!$A$4:$AQ$51,3,FALSE)&lt;&gt;"Soft",
          IF(
                        AND(VLOOKUP(AE$2,'TIS Site Config'!$A$3:$AQ$51,6,FALSE)="Extreme Heated",
                                   VLOOKUP(AE$2,'TIS Site Config'!$A$3:$AQ$51,13,FALSE)="Standard"),
                              1,0),0)</f>
        <v>0</v>
      </c>
      <c r="AF85" s="252">
        <f>IF(VLOOKUP(AF$2,'TIS Site Config'!$A$4:$AQ$51,3,FALSE)&lt;&gt;"Soft",
          IF(
                        AND(VLOOKUP(AF$2,'TIS Site Config'!$A$3:$AQ$51,6,FALSE)="Extreme Heated",
                                   VLOOKUP(AF$2,'TIS Site Config'!$A$3:$AQ$51,13,FALSE)="Standard"),
                              1,0),0)</f>
        <v>0</v>
      </c>
      <c r="AG85" s="299">
        <f>IF(VLOOKUP(AG$2,'TIS Site Config'!$A$4:$AQ$51,3,FALSE)&lt;&gt;"Soft",
          IF(
                        AND(VLOOKUP(AG$2,'TIS Site Config'!$A$3:$AQ$51,6,FALSE)="Extreme Heated",
                                   VLOOKUP(AG$2,'TIS Site Config'!$A$3:$AQ$51,13,FALSE)="Standard"),
                              1,0),0)</f>
        <v>0</v>
      </c>
      <c r="AH85" s="250">
        <f>IF(VLOOKUP(AH$2,'TIS Site Config'!$A$4:$AQ$51,3,FALSE)&lt;&gt;"Soft",
          IF(
                        AND(VLOOKUP(AH$2,'TIS Site Config'!$A$3:$AQ$51,6,FALSE)="Extreme Heated",
                                   VLOOKUP(AH$2,'TIS Site Config'!$A$3:$AQ$51,13,FALSE)="Standard"),
                              1,0),0)</f>
        <v>0</v>
      </c>
      <c r="AI85" s="141">
        <f>IF(VLOOKUP(AI$2,'TIS Site Config'!$A$4:$AQ$51,3,FALSE)&lt;&gt;"Soft",
          IF(
                        AND(VLOOKUP(AI$2,'TIS Site Config'!$A$3:$AQ$51,6,FALSE)="Extreme Heated",
                                   VLOOKUP(AI$2,'TIS Site Config'!$A$3:$AQ$51,13,FALSE)="Standard"),
                              1,0),0)</f>
        <v>0</v>
      </c>
      <c r="AJ85" s="299">
        <f>IF(VLOOKUP(AJ$2,'TIS Site Config'!$A$4:$AQ$51,3,FALSE)&lt;&gt;"Soft",
          IF(
                        AND(VLOOKUP(AJ$2,'TIS Site Config'!$A$3:$AQ$51,6,FALSE)="Extreme Heated",
                                   VLOOKUP(AJ$2,'TIS Site Config'!$A$3:$AQ$51,13,FALSE)="Standard"),
                              1,0),0)</f>
        <v>0</v>
      </c>
      <c r="AK85" s="250">
        <f>IF(VLOOKUP(AK$2,'TIS Site Config'!$A$4:$AQ$51,3,FALSE)&lt;&gt;"Soft",
          IF(
                        AND(VLOOKUP(AK$2,'TIS Site Config'!$A$3:$AQ$51,6,FALSE)="Extreme Heated",
                                   VLOOKUP(AK$2,'TIS Site Config'!$A$3:$AQ$51,13,FALSE)="Standard"),
                              1,0),0)</f>
        <v>0</v>
      </c>
      <c r="AL85" s="141">
        <f>IF(VLOOKUP(AL$2,'TIS Site Config'!$A$4:$AQ$51,3,FALSE)&lt;&gt;"Soft",
          IF(
                        AND(VLOOKUP(AL$2,'TIS Site Config'!$A$3:$AQ$51,6,FALSE)="Extreme Heated",
                                   VLOOKUP(AL$2,'TIS Site Config'!$A$3:$AQ$51,13,FALSE)="Standard"),
                              1,0),0)</f>
        <v>0</v>
      </c>
      <c r="AM85" s="299">
        <f>IF(VLOOKUP(AM$2,'TIS Site Config'!$A$4:$AQ$51,3,FALSE)&lt;&gt;"Soft",
          IF(
                        AND(VLOOKUP(AM$2,'TIS Site Config'!$A$3:$AQ$51,6,FALSE)="Extreme Heated",
                                   VLOOKUP(AM$2,'TIS Site Config'!$A$3:$AQ$51,13,FALSE)="Standard"),
                              1,0),0)</f>
        <v>0</v>
      </c>
      <c r="AN85" s="250">
        <f>IF(VLOOKUP(AN$2,'TIS Site Config'!$A$4:$AQ$51,3,FALSE)&lt;&gt;"Soft",
          IF(
                        AND(VLOOKUP(AN$2,'TIS Site Config'!$A$3:$AQ$51,6,FALSE)="Extreme Heated",
                                   VLOOKUP(AN$2,'TIS Site Config'!$A$3:$AQ$51,13,FALSE)="Standard"),
                              1,0),0)</f>
        <v>0</v>
      </c>
      <c r="AO85" s="141">
        <f>IF(VLOOKUP(AO$2,'TIS Site Config'!$A$4:$AQ$51,3,FALSE)&lt;&gt;"Soft",
          IF(
                        AND(VLOOKUP(AO$2,'TIS Site Config'!$A$3:$AQ$51,6,FALSE)="Extreme Heated",
                                   VLOOKUP(AO$2,'TIS Site Config'!$A$3:$AQ$51,13,FALSE)="Standard"),
                              1,0),0)</f>
        <v>0</v>
      </c>
      <c r="AP85" s="299">
        <f>IF(VLOOKUP(AP$2,'TIS Site Config'!$A$4:$AQ$51,3,FALSE)&lt;&gt;"Soft",
          IF(
                        AND(VLOOKUP(AP$2,'TIS Site Config'!$A$3:$AQ$51,6,FALSE)="Extreme Heated",
                                   VLOOKUP(AP$2,'TIS Site Config'!$A$3:$AQ$51,13,FALSE)="Standard"),
                              1,0),0)</f>
        <v>0</v>
      </c>
      <c r="AQ85" s="141">
        <f>IF(VLOOKUP(AQ$2,'TIS Site Config'!$A$4:$AQ$51,3,FALSE)&lt;&gt;"Soft",
          IF(
                        AND(VLOOKUP(AQ$2,'TIS Site Config'!$A$3:$AQ$51,6,FALSE)="Extreme Heated",
                                   VLOOKUP(AQ$2,'TIS Site Config'!$A$3:$AQ$51,13,FALSE)="Standard"),
                              1,0),0)</f>
        <v>0</v>
      </c>
      <c r="AR85" s="141">
        <f>IF(VLOOKUP(AR$2,'TIS Site Config'!$A$4:$AQ$51,3,FALSE)&lt;&gt;"Soft",
          IF(
                        AND(VLOOKUP(AR$2,'TIS Site Config'!$A$3:$AQ$51,6,FALSE)="Extreme Heated",
                                   VLOOKUP(AR$2,'TIS Site Config'!$A$3:$AQ$51,13,FALSE)="Standard"),
                              1,0),0)</f>
        <v>0</v>
      </c>
      <c r="AS85" s="299">
        <f>IF(VLOOKUP(AS$2,'TIS Site Config'!$A$4:$AQ$51,3,FALSE)&lt;&gt;"Soft",
          IF(
                        AND(VLOOKUP(AS$2,'TIS Site Config'!$A$3:$AQ$51,6,FALSE)="Extreme Heated",
                                   VLOOKUP(AS$2,'TIS Site Config'!$A$3:$AQ$51,13,FALSE)="Standard"),
                              1,0),0)</f>
        <v>0</v>
      </c>
      <c r="AT85" s="141">
        <f>IF(VLOOKUP(AT$2,'TIS Site Config'!$A$4:$AQ$51,3,FALSE)&lt;&gt;"Soft",
          IF(
                        AND(VLOOKUP(AT$2,'TIS Site Config'!$A$3:$AQ$51,6,FALSE)="Extreme Heated",
                                   VLOOKUP(AT$2,'TIS Site Config'!$A$3:$AQ$51,13,FALSE)="Standard"),
                              1,0),0)</f>
        <v>0</v>
      </c>
      <c r="AU85" s="299">
        <f>IF(VLOOKUP(AU$2,'TIS Site Config'!$A$4:$AQ$51,3,FALSE)&lt;&gt;"Soft",
          IF(
                        AND(VLOOKUP(AU$2,'TIS Site Config'!$A$3:$AQ$51,6,FALSE)="Extreme Heated",
                                   VLOOKUP(AU$2,'TIS Site Config'!$A$3:$AQ$51,13,FALSE)="Standard"),
                              1,0),0)</f>
        <v>0</v>
      </c>
      <c r="AV85" s="141">
        <f>IF(VLOOKUP(AV$2,'TIS Site Config'!$A$4:$AQ$51,3,FALSE)&lt;&gt;"Soft",
          IF(
                        AND(VLOOKUP(AV$2,'TIS Site Config'!$A$3:$AQ$51,6,FALSE)="Extreme Heated",
                                   VLOOKUP(AV$2,'TIS Site Config'!$A$3:$AQ$51,13,FALSE)="Standard"),
                              1,0),0)</f>
        <v>0</v>
      </c>
      <c r="AW85" s="1010">
        <f>IF(VLOOKUP(AW$2,'TIS Site Config'!$A$4:$AQ$51,3,FALSE)&lt;&gt;"Soft",
          IF(
                        AND(VLOOKUP(AW$2,'TIS Site Config'!$A$3:$AQ$51,6,FALSE)="Extreme Heated",
                                   VLOOKUP(AW$2,'TIS Site Config'!$A$3:$AQ$51,13,FALSE)="Standard"),
                              1,0),0)</f>
        <v>0</v>
      </c>
      <c r="AX85" s="250">
        <f>IF(VLOOKUP(AX$2,'TIS Site Config'!$A$4:$AQ$51,3,FALSE)&lt;&gt;"Soft",
          IF(
                        AND(VLOOKUP(AX$2,'TIS Site Config'!$A$3:$AQ$51,6,FALSE)="Extreme Heated",
                                   VLOOKUP(AX$2,'TIS Site Config'!$A$3:$AQ$51,13,FALSE)="Standard"),
                              1,0),0)</f>
        <v>0</v>
      </c>
      <c r="AY85" s="141">
        <f>IF(VLOOKUP(AY$2,'TIS Site Config'!$A$4:$AQ$51,3,FALSE)&lt;&gt;"Soft",
          IF(
                        AND(VLOOKUP(AY$2,'TIS Site Config'!$A$3:$AQ$51,6,FALSE)="Extreme Heated",
                                   VLOOKUP(AY$2,'TIS Site Config'!$A$3:$AQ$51,13,FALSE)="Standard"),
                              1,0),0)</f>
        <v>0</v>
      </c>
      <c r="AZ85" s="299">
        <f>IF(VLOOKUP(AZ$2,'TIS Site Config'!$A$4:$AQ$51,3,FALSE)&lt;&gt;"Soft",
          IF(
                        AND(VLOOKUP(AZ$2,'TIS Site Config'!$A$3:$AQ$51,6,FALSE)="Extreme Heated",
                                   VLOOKUP(AZ$2,'TIS Site Config'!$A$3:$AQ$51,13,FALSE)="Standard"),
                              1,0),0)</f>
        <v>0</v>
      </c>
      <c r="BA85" s="251">
        <f>IF(VLOOKUP(BA$2,'TIS Site Config'!$A$4:$AQ$51,3,FALSE)&lt;&gt;"Soft",
          IF(
                        AND(VLOOKUP(BA$2,'TIS Site Config'!$A$3:$AQ$51,6,FALSE)="Extreme Heated",
                                   VLOOKUP(BA$2,'TIS Site Config'!$A$3:$AQ$51,13,FALSE)="Standard"),
                              1,0),0)</f>
        <v>0</v>
      </c>
      <c r="BB85" s="141">
        <f>IF(VLOOKUP(BB$2,'TIS Site Config'!$A$4:$AQ$51,3,FALSE)&lt;&gt;"Soft",
          IF(
                        AND(VLOOKUP(BB$2,'TIS Site Config'!$A$3:$AQ$51,6,FALSE)="Extreme Heated",
                                   VLOOKUP(BB$2,'TIS Site Config'!$A$3:$AQ$51,13,FALSE)="Standard"),
                              1,0),0)</f>
        <v>1</v>
      </c>
      <c r="BC85" s="250">
        <f>IF(VLOOKUP(BC$2,'TIS Site Config'!$A$4:$AQ$51,3,FALSE)&lt;&gt;"Soft",
          IF(
                        AND(VLOOKUP(BC$2,'TIS Site Config'!$A$3:$AQ$51,6,FALSE)="Extreme Heated",
                                   VLOOKUP(BC$2,'TIS Site Config'!$A$3:$AQ$51,13,FALSE)="Standard"),
                              1,0),0)</f>
        <v>0</v>
      </c>
      <c r="BD85" s="141">
        <f>IF(VLOOKUP(BD$2,'TIS Site Config'!$A$4:$AQ$51,3,FALSE)&lt;&gt;"Soft",
          IF(
                        AND(VLOOKUP(BD$2,'TIS Site Config'!$A$3:$AQ$51,6,FALSE)="Extreme Heated",
                                   VLOOKUP(BD$2,'TIS Site Config'!$A$3:$AQ$51,13,FALSE)="Standard"),
                              1,0),0)</f>
        <v>0</v>
      </c>
      <c r="BE85" s="299">
        <f>IF(VLOOKUP(BE$2,'TIS Site Config'!$A$4:$AQ$51,3,FALSE)&lt;&gt;"Soft",
          IF(
                        AND(VLOOKUP(BE$2,'TIS Site Config'!$A$3:$AQ$51,6,FALSE)="Extreme Heated",
                                   VLOOKUP(BE$2,'TIS Site Config'!$A$3:$AQ$51,13,FALSE)="Standard"),
                              1,0),0)</f>
        <v>1</v>
      </c>
      <c r="BF85" s="250">
        <f>IF(VLOOKUP(BF$2,'TIS Site Config'!$A$4:$AQ$51,3,FALSE)&lt;&gt;"Soft",
          IF(
                        AND(VLOOKUP(BF$2,'TIS Site Config'!$A$3:$AQ$51,6,FALSE)="Extreme Heated",
                                   VLOOKUP(BF$2,'TIS Site Config'!$A$3:$AQ$51,13,FALSE)="Standard"),
                              1,0),0)</f>
        <v>1</v>
      </c>
      <c r="BG85" s="253">
        <f>IF(VLOOKUP(BG$2,'TIS Site Config'!$A$4:$AQ$51,3,FALSE)&lt;&gt;"Soft",
          IF(
                        AND(VLOOKUP(BG$2,'TIS Site Config'!$A$3:$AQ$51,6,FALSE)="Extreme Heated",
                                   VLOOKUP(BG$2,'TIS Site Config'!$A$3:$AQ$51,13,FALSE)="Standard"),
                              1,0),0)</f>
        <v>0</v>
      </c>
      <c r="BH85" s="253">
        <f>IF(VLOOKUP(BH$2,'TIS Site Config'!$A$4:$AQ$51,3,FALSE)&lt;&gt;"Soft",
          IF(
                        AND(VLOOKUP(BH$2,'TIS Site Config'!$A$3:$AQ$51,6,FALSE)="Extreme Heated",
                                   VLOOKUP(BH$2,'TIS Site Config'!$A$3:$AQ$51,13,FALSE)="Standard"),
                              1,0),0)</f>
        <v>0</v>
      </c>
      <c r="BK85" s="44">
        <v>3</v>
      </c>
      <c r="BL85" s="950" t="b">
        <f t="shared" si="6"/>
        <v>1</v>
      </c>
      <c r="BO85" s="950"/>
    </row>
    <row r="86" spans="1:67" ht="15.75" thickBot="1" x14ac:dyDescent="0.3">
      <c r="A86" s="1366"/>
      <c r="B86" s="1344"/>
      <c r="C86" s="67" t="s">
        <v>480</v>
      </c>
      <c r="D86" s="92">
        <v>4</v>
      </c>
      <c r="E86" s="110" t="s">
        <v>479</v>
      </c>
      <c r="F86" s="58">
        <f t="shared" si="5"/>
        <v>3</v>
      </c>
      <c r="G86" s="453"/>
      <c r="H86" s="454"/>
      <c r="I86" s="454"/>
      <c r="J86" s="454"/>
      <c r="K86" s="455"/>
      <c r="L86" s="492"/>
      <c r="M86" s="133">
        <f>IF(VLOOKUP(M$2,'TIS Site Config'!$A$4:$AQ$51,3,FALSE)&lt;&gt;"Soft",
          IF(
                        AND(VLOOKUP(M$2,'TIS Site Config'!$A$3:$AQ$51,6,FALSE)="Extreme Heated",
                            OR(VLOOKUP(M$2,'TIS Site Config'!$A$3:$AQ$51,13,FALSE)="Heavy",
                                    VLOOKUP(M$2,'TIS Site Config'!$A$3:$AQ$51,13,FALSE)="Extreme")),
                              1,0),0)</f>
        <v>0</v>
      </c>
      <c r="N86" s="207">
        <f>IF(VLOOKUP(N$2,'TIS Site Config'!$A$4:$AQ$51,3,FALSE)&lt;&gt;"Soft",
          IF(
                        AND(VLOOKUP(N$2,'TIS Site Config'!$A$3:$AQ$51,6,FALSE)="Extreme Heated",
                            OR(VLOOKUP(N$2,'TIS Site Config'!$A$3:$AQ$51,13,FALSE)="Heavy",
                                    VLOOKUP(N$2,'TIS Site Config'!$A$3:$AQ$51,13,FALSE)="Extreme")),
                              1,0),0)</f>
        <v>0</v>
      </c>
      <c r="O86" s="211">
        <f>IF(VLOOKUP(O$2,'TIS Site Config'!$A$4:$AQ$51,3,FALSE)&lt;&gt;"Soft",
          IF(
                        AND(VLOOKUP(O$2,'TIS Site Config'!$A$3:$AQ$51,6,FALSE)="Extreme Heated",
                            OR(VLOOKUP(O$2,'TIS Site Config'!$A$3:$AQ$51,13,FALSE)="Heavy",
                                    VLOOKUP(O$2,'TIS Site Config'!$A$3:$AQ$51,13,FALSE)="Extreme")),
                              1,0),0)</f>
        <v>0</v>
      </c>
      <c r="P86" s="206">
        <f>IF(VLOOKUP(P$2,'TIS Site Config'!$A$4:$AQ$51,3,FALSE)&lt;&gt;"Soft",
          IF(
                        AND(VLOOKUP(P$2,'TIS Site Config'!$A$3:$AQ$51,6,FALSE)="Extreme Heated",
                            OR(VLOOKUP(P$2,'TIS Site Config'!$A$3:$AQ$51,13,FALSE)="Heavy",
                                    VLOOKUP(P$2,'TIS Site Config'!$A$3:$AQ$51,13,FALSE)="Extreme")),
                              1,0),0)</f>
        <v>0</v>
      </c>
      <c r="Q86" s="207">
        <f>IF(VLOOKUP(Q$2,'TIS Site Config'!$A$4:$AQ$51,3,FALSE)&lt;&gt;"Soft",
          IF(
                        AND(VLOOKUP(Q$2,'TIS Site Config'!$A$3:$AQ$51,6,FALSE)="Extreme Heated",
                            OR(VLOOKUP(Q$2,'TIS Site Config'!$A$3:$AQ$51,13,FALSE)="Heavy",
                                    VLOOKUP(Q$2,'TIS Site Config'!$A$3:$AQ$51,13,FALSE)="Extreme")),
                              1,0),0)</f>
        <v>0</v>
      </c>
      <c r="R86" s="133">
        <f>IF(VLOOKUP(R$2,'TIS Site Config'!$A$4:$AQ$51,3,FALSE)&lt;&gt;"Soft",
          IF(
                        AND(VLOOKUP(R$2,'TIS Site Config'!$A$3:$AQ$51,6,FALSE)="Extreme Heated",
                            OR(VLOOKUP(R$2,'TIS Site Config'!$A$3:$AQ$51,13,FALSE)="Heavy",
                                    VLOOKUP(R$2,'TIS Site Config'!$A$3:$AQ$51,13,FALSE)="Extreme")),
                              1,0),0)</f>
        <v>0</v>
      </c>
      <c r="S86" s="206">
        <f>IF(VLOOKUP(S$2,'TIS Site Config'!$A$4:$AQ$51,3,FALSE)&lt;&gt;"Soft",
          IF(
                        AND(VLOOKUP(S$2,'TIS Site Config'!$A$3:$AQ$51,6,FALSE)="Extreme Heated",
                            OR(VLOOKUP(S$2,'TIS Site Config'!$A$3:$AQ$51,13,FALSE)="Heavy",
                                    VLOOKUP(S$2,'TIS Site Config'!$A$3:$AQ$51,13,FALSE)="Extreme")),
                              1,0),0)</f>
        <v>0</v>
      </c>
      <c r="T86" s="207">
        <f>IF(VLOOKUP(T$2,'TIS Site Config'!$A$4:$AQ$51,3,FALSE)&lt;&gt;"Soft",
          IF(
                        AND(VLOOKUP(T$2,'TIS Site Config'!$A$3:$AQ$51,6,FALSE)="Extreme Heated",
                            OR(VLOOKUP(T$2,'TIS Site Config'!$A$3:$AQ$51,13,FALSE)="Heavy",
                                    VLOOKUP(T$2,'TIS Site Config'!$A$3:$AQ$51,13,FALSE)="Extreme")),
                              1,0),0)</f>
        <v>0</v>
      </c>
      <c r="U86" s="133">
        <f>IF(VLOOKUP(U$2,'TIS Site Config'!$A$4:$AQ$51,3,FALSE)&lt;&gt;"Soft",
          IF(
                        AND(VLOOKUP(U$2,'TIS Site Config'!$A$3:$AQ$51,6,FALSE)="Extreme Heated",
                            OR(VLOOKUP(U$2,'TIS Site Config'!$A$3:$AQ$51,13,FALSE)="Heavy",
                                    VLOOKUP(U$2,'TIS Site Config'!$A$3:$AQ$51,13,FALSE)="Extreme")),
                              1,0),0)</f>
        <v>0</v>
      </c>
      <c r="V86" s="207">
        <f>IF(VLOOKUP(V$2,'TIS Site Config'!$A$4:$AQ$51,3,FALSE)&lt;&gt;"Soft",
          IF(
                        AND(VLOOKUP(V$2,'TIS Site Config'!$A$3:$AQ$51,6,FALSE)="Extreme Heated",
                            OR(VLOOKUP(V$2,'TIS Site Config'!$A$3:$AQ$51,13,FALSE)="Heavy",
                                    VLOOKUP(V$2,'TIS Site Config'!$A$3:$AQ$51,13,FALSE)="Extreme")),
                              1,0),0)</f>
        <v>0</v>
      </c>
      <c r="W86" s="210">
        <f>IF(VLOOKUP(W$2,'TIS Site Config'!$A$4:$AQ$51,3,FALSE)&lt;&gt;"Soft",
          IF(
                        AND(VLOOKUP(W$2,'TIS Site Config'!$A$3:$AQ$51,6,FALSE)="Extreme Heated",
                            OR(VLOOKUP(W$2,'TIS Site Config'!$A$3:$AQ$51,13,FALSE)="Heavy",
                                    VLOOKUP(W$2,'TIS Site Config'!$A$3:$AQ$51,13,FALSE)="Extreme")),
                              1,0),0)</f>
        <v>0</v>
      </c>
      <c r="X86" s="206">
        <f>IF(VLOOKUP(X$2,'TIS Site Config'!$A$4:$AQ$51,3,FALSE)&lt;&gt;"Soft",
          IF(
                        AND(VLOOKUP(X$2,'TIS Site Config'!$A$3:$AQ$51,6,FALSE)="Extreme Heated",
                            OR(VLOOKUP(X$2,'TIS Site Config'!$A$3:$AQ$51,13,FALSE)="Heavy",
                                    VLOOKUP(X$2,'TIS Site Config'!$A$3:$AQ$51,13,FALSE)="Extreme")),
                              1,0),0)</f>
        <v>0</v>
      </c>
      <c r="Y86" s="207">
        <f>IF(VLOOKUP(Y$2,'TIS Site Config'!$A$4:$AQ$51,3,FALSE)&lt;&gt;"Soft",
          IF(
                        AND(VLOOKUP(Y$2,'TIS Site Config'!$A$3:$AQ$51,6,FALSE)="Extreme Heated",
                            OR(VLOOKUP(Y$2,'TIS Site Config'!$A$3:$AQ$51,13,FALSE)="Heavy",
                                    VLOOKUP(Y$2,'TIS Site Config'!$A$3:$AQ$51,13,FALSE)="Extreme")),
                              1,0),0)</f>
        <v>0</v>
      </c>
      <c r="Z86" s="133">
        <f>IF(VLOOKUP(Z$2,'TIS Site Config'!$A$4:$AQ$51,3,FALSE)&lt;&gt;"Soft",
          IF(
                        AND(VLOOKUP(Z$2,'TIS Site Config'!$A$3:$AQ$51,6,FALSE)="Extreme Heated",
                            OR(VLOOKUP(Z$2,'TIS Site Config'!$A$3:$AQ$51,13,FALSE)="Heavy",
                                    VLOOKUP(Z$2,'TIS Site Config'!$A$3:$AQ$51,13,FALSE)="Extreme")),
                              1,0),0)</f>
        <v>0</v>
      </c>
      <c r="AA86" s="206">
        <f>IF(VLOOKUP(AA$2,'TIS Site Config'!$A$4:$AQ$51,3,FALSE)&lt;&gt;"Soft",
          IF(
                        AND(VLOOKUP(AA$2,'TIS Site Config'!$A$3:$AQ$51,6,FALSE)="Extreme Heated",
                            OR(VLOOKUP(AA$2,'TIS Site Config'!$A$3:$AQ$51,13,FALSE)="Heavy",
                                    VLOOKUP(AA$2,'TIS Site Config'!$A$3:$AQ$51,13,FALSE)="Extreme")),
                              1,0),0)</f>
        <v>0</v>
      </c>
      <c r="AB86" s="207">
        <f>IF(VLOOKUP(AB$2,'TIS Site Config'!$A$4:$AQ$51,3,FALSE)&lt;&gt;"Soft",
          IF(
                        AND(VLOOKUP(AB$2,'TIS Site Config'!$A$3:$AQ$51,6,FALSE)="Extreme Heated",
                            OR(VLOOKUP(AB$2,'TIS Site Config'!$A$3:$AQ$51,13,FALSE)="Heavy",
                                    VLOOKUP(AB$2,'TIS Site Config'!$A$3:$AQ$51,13,FALSE)="Extreme")),
                              1,0),0)</f>
        <v>0</v>
      </c>
      <c r="AC86" s="206">
        <f>IF(VLOOKUP(AC$2,'TIS Site Config'!$A$4:$AQ$51,3,FALSE)&lt;&gt;"Soft",
          IF(
                        AND(VLOOKUP(AC$2,'TIS Site Config'!$A$3:$AQ$51,6,FALSE)="Extreme Heated",
                            OR(VLOOKUP(AC$2,'TIS Site Config'!$A$3:$AQ$51,13,FALSE)="Heavy",
                                    VLOOKUP(AC$2,'TIS Site Config'!$A$3:$AQ$51,13,FALSE)="Extreme")),
                              1,0),0)</f>
        <v>0</v>
      </c>
      <c r="AD86" s="208">
        <f>IF(VLOOKUP(AD$2,'TIS Site Config'!$A$4:$AQ$51,3,FALSE)&lt;&gt;"Soft",
          IF(
                        AND(VLOOKUP(AD$2,'TIS Site Config'!$A$3:$AQ$51,6,FALSE)="Extreme Heated",
                            OR(VLOOKUP(AD$2,'TIS Site Config'!$A$3:$AQ$51,13,FALSE)="Heavy",
                                    VLOOKUP(AD$2,'TIS Site Config'!$A$3:$AQ$51,13,FALSE)="Extreme")),
                              1,0),0)</f>
        <v>0</v>
      </c>
      <c r="AE86" s="208">
        <f>IF(VLOOKUP(AE$2,'TIS Site Config'!$A$4:$AQ$51,3,FALSE)&lt;&gt;"Soft",
          IF(
                        AND(VLOOKUP(AE$2,'TIS Site Config'!$A$3:$AQ$51,6,FALSE)="Extreme Heated",
                            OR(VLOOKUP(AE$2,'TIS Site Config'!$A$3:$AQ$51,13,FALSE)="Heavy",
                                    VLOOKUP(AE$2,'TIS Site Config'!$A$3:$AQ$51,13,FALSE)="Extreme")),
                              1,0),0)</f>
        <v>0</v>
      </c>
      <c r="AF86" s="209">
        <f>IF(VLOOKUP(AF$2,'TIS Site Config'!$A$4:$AQ$51,3,FALSE)&lt;&gt;"Soft",
          IF(
                        AND(VLOOKUP(AF$2,'TIS Site Config'!$A$3:$AQ$51,6,FALSE)="Extreme Heated",
                            OR(VLOOKUP(AF$2,'TIS Site Config'!$A$3:$AQ$51,13,FALSE)="Heavy",
                                    VLOOKUP(AF$2,'TIS Site Config'!$A$3:$AQ$51,13,FALSE)="Extreme")),
                              1,0),0)</f>
        <v>0</v>
      </c>
      <c r="AG86" s="206">
        <f>IF(VLOOKUP(AG$2,'TIS Site Config'!$A$4:$AQ$51,3,FALSE)&lt;&gt;"Soft",
          IF(
                        AND(VLOOKUP(AG$2,'TIS Site Config'!$A$3:$AQ$51,6,FALSE)="Extreme Heated",
                            OR(VLOOKUP(AG$2,'TIS Site Config'!$A$3:$AQ$51,13,FALSE)="Heavy",
                                    VLOOKUP(AG$2,'TIS Site Config'!$A$3:$AQ$51,13,FALSE)="Extreme")),
                              1,0),0)</f>
        <v>0</v>
      </c>
      <c r="AH86" s="207">
        <f>IF(VLOOKUP(AH$2,'TIS Site Config'!$A$4:$AQ$51,3,FALSE)&lt;&gt;"Soft",
          IF(
                        AND(VLOOKUP(AH$2,'TIS Site Config'!$A$3:$AQ$51,6,FALSE)="Extreme Heated",
                            OR(VLOOKUP(AH$2,'TIS Site Config'!$A$3:$AQ$51,13,FALSE)="Heavy",
                                    VLOOKUP(AH$2,'TIS Site Config'!$A$3:$AQ$51,13,FALSE)="Extreme")),
                              1,0),0)</f>
        <v>0</v>
      </c>
      <c r="AI86" s="133">
        <f>IF(VLOOKUP(AI$2,'TIS Site Config'!$A$4:$AQ$51,3,FALSE)&lt;&gt;"Soft",
          IF(
                        AND(VLOOKUP(AI$2,'TIS Site Config'!$A$3:$AQ$51,6,FALSE)="Extreme Heated",
                            OR(VLOOKUP(AI$2,'TIS Site Config'!$A$3:$AQ$51,13,FALSE)="Heavy",
                                    VLOOKUP(AI$2,'TIS Site Config'!$A$3:$AQ$51,13,FALSE)="Extreme")),
                              1,0),0)</f>
        <v>0</v>
      </c>
      <c r="AJ86" s="206">
        <f>IF(VLOOKUP(AJ$2,'TIS Site Config'!$A$4:$AQ$51,3,FALSE)&lt;&gt;"Soft",
          IF(
                        AND(VLOOKUP(AJ$2,'TIS Site Config'!$A$3:$AQ$51,6,FALSE)="Extreme Heated",
                            OR(VLOOKUP(AJ$2,'TIS Site Config'!$A$3:$AQ$51,13,FALSE)="Heavy",
                                    VLOOKUP(AJ$2,'TIS Site Config'!$A$3:$AQ$51,13,FALSE)="Extreme")),
                              1,0),0)</f>
        <v>0</v>
      </c>
      <c r="AK86" s="207">
        <f>IF(VLOOKUP(AK$2,'TIS Site Config'!$A$4:$AQ$51,3,FALSE)&lt;&gt;"Soft",
          IF(
                        AND(VLOOKUP(AK$2,'TIS Site Config'!$A$3:$AQ$51,6,FALSE)="Extreme Heated",
                            OR(VLOOKUP(AK$2,'TIS Site Config'!$A$3:$AQ$51,13,FALSE)="Heavy",
                                    VLOOKUP(AK$2,'TIS Site Config'!$A$3:$AQ$51,13,FALSE)="Extreme")),
                              1,0),0)</f>
        <v>0</v>
      </c>
      <c r="AL86" s="133">
        <f>IF(VLOOKUP(AL$2,'TIS Site Config'!$A$4:$AQ$51,3,FALSE)&lt;&gt;"Soft",
          IF(
                        AND(VLOOKUP(AL$2,'TIS Site Config'!$A$3:$AQ$51,6,FALSE)="Extreme Heated",
                            OR(VLOOKUP(AL$2,'TIS Site Config'!$A$3:$AQ$51,13,FALSE)="Heavy",
                                    VLOOKUP(AL$2,'TIS Site Config'!$A$3:$AQ$51,13,FALSE)="Extreme")),
                              1,0),0)</f>
        <v>0</v>
      </c>
      <c r="AM86" s="206">
        <f>IF(VLOOKUP(AM$2,'TIS Site Config'!$A$4:$AQ$51,3,FALSE)&lt;&gt;"Soft",
          IF(
                        AND(VLOOKUP(AM$2,'TIS Site Config'!$A$3:$AQ$51,6,FALSE)="Extreme Heated",
                            OR(VLOOKUP(AM$2,'TIS Site Config'!$A$3:$AQ$51,13,FALSE)="Heavy",
                                    VLOOKUP(AM$2,'TIS Site Config'!$A$3:$AQ$51,13,FALSE)="Extreme")),
                              1,0),0)</f>
        <v>0</v>
      </c>
      <c r="AN86" s="207">
        <f>IF(VLOOKUP(AN$2,'TIS Site Config'!$A$4:$AQ$51,3,FALSE)&lt;&gt;"Soft",
          IF(
                        AND(VLOOKUP(AN$2,'TIS Site Config'!$A$3:$AQ$51,6,FALSE)="Extreme Heated",
                            OR(VLOOKUP(AN$2,'TIS Site Config'!$A$3:$AQ$51,13,FALSE)="Heavy",
                                    VLOOKUP(AN$2,'TIS Site Config'!$A$3:$AQ$51,13,FALSE)="Extreme")),
                              1,0),0)</f>
        <v>0</v>
      </c>
      <c r="AO86" s="133">
        <f>IF(VLOOKUP(AO$2,'TIS Site Config'!$A$4:$AQ$51,3,FALSE)&lt;&gt;"Soft",
          IF(
                        AND(VLOOKUP(AO$2,'TIS Site Config'!$A$3:$AQ$51,6,FALSE)="Extreme Heated",
                            OR(VLOOKUP(AO$2,'TIS Site Config'!$A$3:$AQ$51,13,FALSE)="Heavy",
                                    VLOOKUP(AO$2,'TIS Site Config'!$A$3:$AQ$51,13,FALSE)="Extreme")),
                              1,0),0)</f>
        <v>0</v>
      </c>
      <c r="AP86" s="206">
        <f>IF(VLOOKUP(AP$2,'TIS Site Config'!$A$4:$AQ$51,3,FALSE)&lt;&gt;"Soft",
          IF(
                        AND(VLOOKUP(AP$2,'TIS Site Config'!$A$3:$AQ$51,6,FALSE)="Extreme Heated",
                            OR(VLOOKUP(AP$2,'TIS Site Config'!$A$3:$AQ$51,13,FALSE)="Heavy",
                                    VLOOKUP(AP$2,'TIS Site Config'!$A$3:$AQ$51,13,FALSE)="Extreme")),
                              1,0),0)</f>
        <v>0</v>
      </c>
      <c r="AQ86" s="133">
        <f>IF(VLOOKUP(AQ$2,'TIS Site Config'!$A$4:$AQ$51,3,FALSE)&lt;&gt;"Soft",
          IF(
                        AND(VLOOKUP(AQ$2,'TIS Site Config'!$A$3:$AQ$51,6,FALSE)="Extreme Heated",
                            OR(VLOOKUP(AQ$2,'TIS Site Config'!$A$3:$AQ$51,13,FALSE)="Heavy",
                                    VLOOKUP(AQ$2,'TIS Site Config'!$A$3:$AQ$51,13,FALSE)="Extreme")),
                              1,0),0)</f>
        <v>0</v>
      </c>
      <c r="AR86" s="133">
        <f>IF(VLOOKUP(AR$2,'TIS Site Config'!$A$4:$AQ$51,3,FALSE)&lt;&gt;"Soft",
          IF(
                        AND(VLOOKUP(AR$2,'TIS Site Config'!$A$3:$AQ$51,6,FALSE)="Extreme Heated",
                            OR(VLOOKUP(AR$2,'TIS Site Config'!$A$3:$AQ$51,13,FALSE)="Heavy",
                                    VLOOKUP(AR$2,'TIS Site Config'!$A$3:$AQ$51,13,FALSE)="Extreme")),
                              1,0),0)</f>
        <v>1</v>
      </c>
      <c r="AS86" s="206">
        <f>IF(VLOOKUP(AS$2,'TIS Site Config'!$A$4:$AQ$51,3,FALSE)&lt;&gt;"Soft",
          IF(
                        AND(VLOOKUP(AS$2,'TIS Site Config'!$A$3:$AQ$51,6,FALSE)="Extreme Heated",
                            OR(VLOOKUP(AS$2,'TIS Site Config'!$A$3:$AQ$51,13,FALSE)="Heavy",
                                    VLOOKUP(AS$2,'TIS Site Config'!$A$3:$AQ$51,13,FALSE)="Extreme")),
                              1,0),0)</f>
        <v>0</v>
      </c>
      <c r="AT86" s="133">
        <f>IF(VLOOKUP(AT$2,'TIS Site Config'!$A$4:$AQ$51,3,FALSE)&lt;&gt;"Soft",
          IF(
                        AND(VLOOKUP(AT$2,'TIS Site Config'!$A$3:$AQ$51,6,FALSE)="Extreme Heated",
                            OR(VLOOKUP(AT$2,'TIS Site Config'!$A$3:$AQ$51,13,FALSE)="Heavy",
                                    VLOOKUP(AT$2,'TIS Site Config'!$A$3:$AQ$51,13,FALSE)="Extreme")),
                              1,0),0)</f>
        <v>0</v>
      </c>
      <c r="AU86" s="206">
        <f>IF(VLOOKUP(AU$2,'TIS Site Config'!$A$4:$AQ$51,3,FALSE)&lt;&gt;"Soft",
          IF(
                        AND(VLOOKUP(AU$2,'TIS Site Config'!$A$3:$AQ$51,6,FALSE)="Extreme Heated",
                            OR(VLOOKUP(AU$2,'TIS Site Config'!$A$3:$AQ$51,13,FALSE)="Heavy",
                                    VLOOKUP(AU$2,'TIS Site Config'!$A$3:$AQ$51,13,FALSE)="Extreme")),
                              1,0),0)</f>
        <v>0</v>
      </c>
      <c r="AV86" s="133">
        <f>IF(VLOOKUP(AV$2,'TIS Site Config'!$A$4:$AQ$51,3,FALSE)&lt;&gt;"Soft",
          IF(
                        AND(VLOOKUP(AV$2,'TIS Site Config'!$A$3:$AQ$51,6,FALSE)="Extreme Heated",
                            OR(VLOOKUP(AV$2,'TIS Site Config'!$A$3:$AQ$51,13,FALSE)="Heavy",
                                    VLOOKUP(AV$2,'TIS Site Config'!$A$3:$AQ$51,13,FALSE)="Extreme")),
                              1,0),0)</f>
        <v>0</v>
      </c>
      <c r="AW86" s="1011">
        <f>IF(VLOOKUP(AW$2,'TIS Site Config'!$A$4:$AQ$51,3,FALSE)&lt;&gt;"Soft",
          IF(
                        AND(VLOOKUP(AW$2,'TIS Site Config'!$A$3:$AQ$51,6,FALSE)="Extreme Heated",
                            OR(VLOOKUP(AW$2,'TIS Site Config'!$A$3:$AQ$51,13,FALSE)="Heavy",
                                    VLOOKUP(AW$2,'TIS Site Config'!$A$3:$AQ$51,13,FALSE)="Extreme")),
                              1,0),0)</f>
        <v>0</v>
      </c>
      <c r="AX86" s="207">
        <f>IF(VLOOKUP(AX$2,'TIS Site Config'!$A$4:$AQ$51,3,FALSE)&lt;&gt;"Soft",
          IF(
                        AND(VLOOKUP(AX$2,'TIS Site Config'!$A$3:$AQ$51,6,FALSE)="Extreme Heated",
                            OR(VLOOKUP(AX$2,'TIS Site Config'!$A$3:$AQ$51,13,FALSE)="Heavy",
                                    VLOOKUP(AX$2,'TIS Site Config'!$A$3:$AQ$51,13,FALSE)="Extreme")),
                              1,0),0)</f>
        <v>0</v>
      </c>
      <c r="AY86" s="133">
        <f>IF(VLOOKUP(AY$2,'TIS Site Config'!$A$4:$AQ$51,3,FALSE)&lt;&gt;"Soft",
          IF(
                        AND(VLOOKUP(AY$2,'TIS Site Config'!$A$3:$AQ$51,6,FALSE)="Extreme Heated",
                            OR(VLOOKUP(AY$2,'TIS Site Config'!$A$3:$AQ$51,13,FALSE)="Heavy",
                                    VLOOKUP(AY$2,'TIS Site Config'!$A$3:$AQ$51,13,FALSE)="Extreme")),
                              1,0),0)</f>
        <v>0</v>
      </c>
      <c r="AZ86" s="206">
        <f>IF(VLOOKUP(AZ$2,'TIS Site Config'!$A$4:$AQ$51,3,FALSE)&lt;&gt;"Soft",
          IF(
                        AND(VLOOKUP(AZ$2,'TIS Site Config'!$A$3:$AQ$51,6,FALSE)="Extreme Heated",
                            OR(VLOOKUP(AZ$2,'TIS Site Config'!$A$3:$AQ$51,13,FALSE)="Heavy",
                                    VLOOKUP(AZ$2,'TIS Site Config'!$A$3:$AQ$51,13,FALSE)="Extreme")),
                              1,0),0)</f>
        <v>0</v>
      </c>
      <c r="BA86" s="208">
        <f>IF(VLOOKUP(BA$2,'TIS Site Config'!$A$4:$AQ$51,3,FALSE)&lt;&gt;"Soft",
          IF(
                        AND(VLOOKUP(BA$2,'TIS Site Config'!$A$3:$AQ$51,6,FALSE)="Extreme Heated",
                            OR(VLOOKUP(BA$2,'TIS Site Config'!$A$3:$AQ$51,13,FALSE)="Heavy",
                                    VLOOKUP(BA$2,'TIS Site Config'!$A$3:$AQ$51,13,FALSE)="Extreme")),
                              1,0),0)</f>
        <v>0</v>
      </c>
      <c r="BB86" s="133">
        <f>IF(VLOOKUP(BB$2,'TIS Site Config'!$A$4:$AQ$51,3,FALSE)&lt;&gt;"Soft",
          IF(
                        AND(VLOOKUP(BB$2,'TIS Site Config'!$A$3:$AQ$51,6,FALSE)="Extreme Heated",
                            OR(VLOOKUP(BB$2,'TIS Site Config'!$A$3:$AQ$51,13,FALSE)="Heavy",
                                    VLOOKUP(BB$2,'TIS Site Config'!$A$3:$AQ$51,13,FALSE)="Extreme")),
                              1,0),0)</f>
        <v>0</v>
      </c>
      <c r="BC86" s="207">
        <f>IF(VLOOKUP(BC$2,'TIS Site Config'!$A$4:$AQ$51,3,FALSE)&lt;&gt;"Soft",
          IF(
                        AND(VLOOKUP(BC$2,'TIS Site Config'!$A$3:$AQ$51,6,FALSE)="Extreme Heated",
                            OR(VLOOKUP(BC$2,'TIS Site Config'!$A$3:$AQ$51,13,FALSE)="Heavy",
                                    VLOOKUP(BC$2,'TIS Site Config'!$A$3:$AQ$51,13,FALSE)="Extreme")),
                              1,0),0)</f>
        <v>1</v>
      </c>
      <c r="BD86" s="133">
        <f>IF(VLOOKUP(BD$2,'TIS Site Config'!$A$4:$AQ$51,3,FALSE)&lt;&gt;"Soft",
          IF(
                        AND(VLOOKUP(BD$2,'TIS Site Config'!$A$3:$AQ$51,6,FALSE)="Extreme Heated",
                            OR(VLOOKUP(BD$2,'TIS Site Config'!$A$3:$AQ$51,13,FALSE)="Heavy",
                                    VLOOKUP(BD$2,'TIS Site Config'!$A$3:$AQ$51,13,FALSE)="Extreme")),
                              1,0),0)</f>
        <v>1</v>
      </c>
      <c r="BE86" s="206">
        <f>IF(VLOOKUP(BE$2,'TIS Site Config'!$A$4:$AQ$51,3,FALSE)&lt;&gt;"Soft",
          IF(
                        AND(VLOOKUP(BE$2,'TIS Site Config'!$A$3:$AQ$51,6,FALSE)="Extreme Heated",
                            OR(VLOOKUP(BE$2,'TIS Site Config'!$A$3:$AQ$51,13,FALSE)="Heavy",
                                    VLOOKUP(BE$2,'TIS Site Config'!$A$3:$AQ$51,13,FALSE)="Extreme")),
                              1,0),0)</f>
        <v>0</v>
      </c>
      <c r="BF86" s="207">
        <f>IF(VLOOKUP(BF$2,'TIS Site Config'!$A$4:$AQ$51,3,FALSE)&lt;&gt;"Soft",
          IF(
                        AND(VLOOKUP(BF$2,'TIS Site Config'!$A$3:$AQ$51,6,FALSE)="Extreme Heated",
                            OR(VLOOKUP(BF$2,'TIS Site Config'!$A$3:$AQ$51,13,FALSE)="Heavy",
                                    VLOOKUP(BF$2,'TIS Site Config'!$A$3:$AQ$51,13,FALSE)="Extreme")),
                              1,0),0)</f>
        <v>0</v>
      </c>
      <c r="BG86" s="58">
        <f>IF(VLOOKUP(BG$2,'TIS Site Config'!$A$4:$AQ$51,3,FALSE)&lt;&gt;"Soft",
          IF(
                        AND(VLOOKUP(BG$2,'TIS Site Config'!$A$3:$AQ$51,6,FALSE)="Extreme Heated",
                            OR(VLOOKUP(BG$2,'TIS Site Config'!$A$3:$AQ$51,13,FALSE)="Heavy",
                                    VLOOKUP(BG$2,'TIS Site Config'!$A$3:$AQ$51,13,FALSE)="Extreme")),
                              1,0),0)</f>
        <v>0</v>
      </c>
      <c r="BH86" s="58">
        <f>IF(VLOOKUP(BH$2,'TIS Site Config'!$A$4:$AQ$51,3,FALSE)&lt;&gt;"Soft",
          IF(
                        AND(VLOOKUP(BH$2,'TIS Site Config'!$A$3:$AQ$51,6,FALSE)="Extreme Heated",
                            OR(VLOOKUP(BH$2,'TIS Site Config'!$A$3:$AQ$51,13,FALSE)="Heavy",
                                    VLOOKUP(BH$2,'TIS Site Config'!$A$3:$AQ$51,13,FALSE)="Extreme")),
                              1,0),0)</f>
        <v>0</v>
      </c>
      <c r="BK86" s="3">
        <v>4</v>
      </c>
      <c r="BL86" s="950" t="b">
        <f t="shared" si="6"/>
        <v>0</v>
      </c>
      <c r="BO86" s="950"/>
    </row>
    <row r="87" spans="1:67" ht="15.75" thickTop="1" x14ac:dyDescent="0.25">
      <c r="A87" s="1366"/>
      <c r="B87" s="1342" t="s">
        <v>27</v>
      </c>
      <c r="C87" s="57" t="s">
        <v>167</v>
      </c>
      <c r="D87" s="90">
        <v>2</v>
      </c>
      <c r="E87" s="84" t="s">
        <v>294</v>
      </c>
      <c r="F87" s="60">
        <f t="shared" si="5"/>
        <v>9</v>
      </c>
      <c r="G87" s="459"/>
      <c r="H87" s="460"/>
      <c r="I87" s="460">
        <v>1</v>
      </c>
      <c r="J87" s="460"/>
      <c r="K87" s="461"/>
      <c r="L87" s="494"/>
      <c r="M87" s="134">
        <f>IF(
             AND(LEFT(VLOOKUP(M$2,'TIS Site Config'!$A$3:$AQ$51,28,FALSE),1)="y",
                        VLOOKUP(M$2,'TIS Site Config'!$A$3:$AQ$51,6,FALSE)="Non-heated"),
                              1,0)</f>
        <v>0</v>
      </c>
      <c r="N87" s="212">
        <f>IF(
             AND(LEFT(VLOOKUP(N$2,'TIS Site Config'!$A$3:$AQ$51,28,FALSE),1)="y",
                        VLOOKUP(N$2,'TIS Site Config'!$A$3:$AQ$51,6,FALSE)="Non-heated"),
                              1,0)</f>
        <v>0</v>
      </c>
      <c r="O87" s="215">
        <f>IF(
             AND(LEFT(VLOOKUP(O$2,'TIS Site Config'!$A$3:$AQ$51,28,FALSE),1)="y",
                        VLOOKUP(O$2,'TIS Site Config'!$A$3:$AQ$51,6,FALSE)="Non-heated"),
                              1,0)</f>
        <v>0</v>
      </c>
      <c r="P87" s="309">
        <f>IF(
             AND(LEFT(VLOOKUP(P$2,'TIS Site Config'!$A$3:$AQ$51,28,FALSE),1)="y",
                        VLOOKUP(P$2,'TIS Site Config'!$A$3:$AQ$51,6,FALSE)="Non-heated"),
                              1,0)</f>
        <v>0</v>
      </c>
      <c r="Q87" s="212">
        <f>IF(
             AND(LEFT(VLOOKUP(Q$2,'TIS Site Config'!$A$3:$AQ$51,28,FALSE),1)="y",
                        VLOOKUP(Q$2,'TIS Site Config'!$A$3:$AQ$51,6,FALSE)="Non-heated"),
                              1,0)</f>
        <v>0</v>
      </c>
      <c r="R87" s="134">
        <f>IF(
             AND(LEFT(VLOOKUP(R$2,'TIS Site Config'!$A$3:$AQ$51,28,FALSE),1)="y",
                        VLOOKUP(R$2,'TIS Site Config'!$A$3:$AQ$51,6,FALSE)="Non-heated"),
                              1,0)</f>
        <v>1</v>
      </c>
      <c r="S87" s="309">
        <f>IF(
             AND(LEFT(VLOOKUP(S$2,'TIS Site Config'!$A$3:$AQ$51,28,FALSE),1)="y",
                        VLOOKUP(S$2,'TIS Site Config'!$A$3:$AQ$51,6,FALSE)="Non-heated"),
                              1,0)</f>
        <v>1</v>
      </c>
      <c r="T87" s="212">
        <f>IF(
             AND(LEFT(VLOOKUP(T$2,'TIS Site Config'!$A$3:$AQ$51,28,FALSE),1)="y",
                        VLOOKUP(T$2,'TIS Site Config'!$A$3:$AQ$51,6,FALSE)="Non-heated"),
                              1,0)</f>
        <v>1</v>
      </c>
      <c r="U87" s="134">
        <f>IF(
             AND(LEFT(VLOOKUP(U$2,'TIS Site Config'!$A$3:$AQ$51,28,FALSE),1)="y",
                        VLOOKUP(U$2,'TIS Site Config'!$A$3:$AQ$51,6,FALSE)="Non-heated"),
                              1,0)</f>
        <v>1</v>
      </c>
      <c r="V87" s="212">
        <f>IF(
             AND(LEFT(VLOOKUP(V$2,'TIS Site Config'!$A$3:$AQ$51,28,FALSE),1)="y",
                        VLOOKUP(V$2,'TIS Site Config'!$A$3:$AQ$51,6,FALSE)="Non-heated"),
                              1,0)</f>
        <v>1</v>
      </c>
      <c r="W87" s="214">
        <f>IF(
             AND(LEFT(VLOOKUP(W$2,'TIS Site Config'!$A$3:$AQ$51,28,FALSE),1)="y",
                        VLOOKUP(W$2,'TIS Site Config'!$A$3:$AQ$51,6,FALSE)="Non-heated"),
                              1,0)</f>
        <v>0</v>
      </c>
      <c r="X87" s="309">
        <f>IF(
             AND(LEFT(VLOOKUP(X$2,'TIS Site Config'!$A$3:$AQ$51,28,FALSE),1)="y",
                        VLOOKUP(X$2,'TIS Site Config'!$A$3:$AQ$51,6,FALSE)="Non-heated"),
                              1,0)</f>
        <v>0</v>
      </c>
      <c r="Y87" s="212">
        <f>IF(
             AND(LEFT(VLOOKUP(Y$2,'TIS Site Config'!$A$3:$AQ$51,28,FALSE),1)="y",
                        VLOOKUP(Y$2,'TIS Site Config'!$A$3:$AQ$51,6,FALSE)="Non-heated"),
                              1,0)</f>
        <v>0</v>
      </c>
      <c r="Z87" s="134">
        <f>IF(
             AND(LEFT(VLOOKUP(Z$2,'TIS Site Config'!$A$3:$AQ$51,28,FALSE),1)="y",
                        VLOOKUP(Z$2,'TIS Site Config'!$A$3:$AQ$51,6,FALSE)="Non-heated"),
                              1,0)</f>
        <v>0</v>
      </c>
      <c r="AA87" s="309">
        <f>IF(
             AND(LEFT(VLOOKUP(AA$2,'TIS Site Config'!$A$3:$AQ$51,28,FALSE),1)="y",
                        VLOOKUP(AA$2,'TIS Site Config'!$A$3:$AQ$51,6,FALSE)="Non-heated"),
                              1,0)</f>
        <v>0</v>
      </c>
      <c r="AB87" s="212">
        <f>IF(
             AND(LEFT(VLOOKUP(AB$2,'TIS Site Config'!$A$3:$AQ$51,28,FALSE),1)="y",
                        VLOOKUP(AB$2,'TIS Site Config'!$A$3:$AQ$51,6,FALSE)="Non-heated"),
                              1,0)</f>
        <v>0</v>
      </c>
      <c r="AC87" s="309">
        <f>IF(
             AND(LEFT(VLOOKUP(AC$2,'TIS Site Config'!$A$3:$AQ$51,28,FALSE),1)="y",
                        VLOOKUP(AC$2,'TIS Site Config'!$A$3:$AQ$51,6,FALSE)="Non-heated"),
                              1,0)</f>
        <v>0</v>
      </c>
      <c r="AD87" s="213">
        <f>IF(
             AND(LEFT(VLOOKUP(AD$2,'TIS Site Config'!$A$3:$AQ$51,28,FALSE),1)="y",
                        VLOOKUP(AD$2,'TIS Site Config'!$A$3:$AQ$51,6,FALSE)="Non-heated"),
                              1,0)</f>
        <v>0</v>
      </c>
      <c r="AE87" s="213">
        <f>IF(
             AND(LEFT(VLOOKUP(AE$2,'TIS Site Config'!$A$3:$AQ$51,28,FALSE),1)="y",
                        VLOOKUP(AE$2,'TIS Site Config'!$A$3:$AQ$51,6,FALSE)="Non-heated"),
                              1,0)</f>
        <v>0</v>
      </c>
      <c r="AF87" s="39">
        <f>IF(
             AND(LEFT(VLOOKUP(AF$2,'TIS Site Config'!$A$3:$AQ$51,28,FALSE),1)="y",
                        VLOOKUP(AF$2,'TIS Site Config'!$A$3:$AQ$51,6,FALSE)="Non-heated"),
                              1,0)</f>
        <v>1</v>
      </c>
      <c r="AG87" s="309">
        <f>IF(
             AND(LEFT(VLOOKUP(AG$2,'TIS Site Config'!$A$3:$AQ$51,28,FALSE),1)="y",
                        VLOOKUP(AG$2,'TIS Site Config'!$A$3:$AQ$51,6,FALSE)="Non-heated"),
                              1,0)</f>
        <v>1</v>
      </c>
      <c r="AH87" s="212">
        <f>IF(
             AND(LEFT(VLOOKUP(AH$2,'TIS Site Config'!$A$3:$AQ$51,28,FALSE),1)="y",
                        VLOOKUP(AH$2,'TIS Site Config'!$A$3:$AQ$51,6,FALSE)="Non-heated"),
                              1,0)</f>
        <v>1</v>
      </c>
      <c r="AI87" s="134">
        <f>IF(
             AND(LEFT(VLOOKUP(AI$2,'TIS Site Config'!$A$3:$AQ$51,28,FALSE),1)="y",
                        VLOOKUP(AI$2,'TIS Site Config'!$A$3:$AQ$51,6,FALSE)="Non-heated"),
                              1,0)</f>
        <v>0</v>
      </c>
      <c r="AJ87" s="309">
        <f>IF(
             AND(LEFT(VLOOKUP(AJ$2,'TIS Site Config'!$A$3:$AQ$51,28,FALSE),1)="y",
                        VLOOKUP(AJ$2,'TIS Site Config'!$A$3:$AQ$51,6,FALSE)="Non-heated"),
                              1,0)</f>
        <v>0</v>
      </c>
      <c r="AK87" s="212">
        <f>IF(
             AND(LEFT(VLOOKUP(AK$2,'TIS Site Config'!$A$3:$AQ$51,28,FALSE),1)="y",
                        VLOOKUP(AK$2,'TIS Site Config'!$A$3:$AQ$51,6,FALSE)="Non-heated"),
                              1,0)</f>
        <v>0</v>
      </c>
      <c r="AL87" s="134">
        <f>IF(
             AND(LEFT(VLOOKUP(AL$2,'TIS Site Config'!$A$3:$AQ$51,28,FALSE),1)="y",
                        VLOOKUP(AL$2,'TIS Site Config'!$A$3:$AQ$51,6,FALSE)="Non-heated"),
                              1,0)</f>
        <v>0</v>
      </c>
      <c r="AM87" s="309">
        <f>IF(
             AND(LEFT(VLOOKUP(AM$2,'TIS Site Config'!$A$3:$AQ$51,28,FALSE),1)="y",
                        VLOOKUP(AM$2,'TIS Site Config'!$A$3:$AQ$51,6,FALSE)="Non-heated"),
                              1,0)</f>
        <v>0</v>
      </c>
      <c r="AN87" s="212">
        <f>IF(
             AND(LEFT(VLOOKUP(AN$2,'TIS Site Config'!$A$3:$AQ$51,28,FALSE),1)="y",
                        VLOOKUP(AN$2,'TIS Site Config'!$A$3:$AQ$51,6,FALSE)="Non-heated"),
                              1,0)</f>
        <v>0</v>
      </c>
      <c r="AO87" s="134">
        <f>IF(
             AND(LEFT(VLOOKUP(AO$2,'TIS Site Config'!$A$3:$AQ$51,28,FALSE),1)="y",
                        VLOOKUP(AO$2,'TIS Site Config'!$A$3:$AQ$51,6,FALSE)="Non-heated"),
                              1,0)</f>
        <v>0</v>
      </c>
      <c r="AP87" s="309">
        <f>IF(
             AND(LEFT(VLOOKUP(AP$2,'TIS Site Config'!$A$3:$AQ$51,28,FALSE),1)="y",
                        VLOOKUP(AP$2,'TIS Site Config'!$A$3:$AQ$51,6,FALSE)="Non-heated"),
                              1,0)</f>
        <v>0</v>
      </c>
      <c r="AQ87" s="134">
        <f>IF(
             AND(LEFT(VLOOKUP(AQ$2,'TIS Site Config'!$A$3:$AQ$51,28,FALSE),1)="y",
                        VLOOKUP(AQ$2,'TIS Site Config'!$A$3:$AQ$51,6,FALSE)="Non-heated"),
                              1,0)</f>
        <v>0</v>
      </c>
      <c r="AR87" s="134">
        <f>IF(
             AND(LEFT(VLOOKUP(AR$2,'TIS Site Config'!$A$3:$AQ$51,28,FALSE),1)="y",
                        VLOOKUP(AR$2,'TIS Site Config'!$A$3:$AQ$51,6,FALSE)="Non-heated"),
                              1,0)</f>
        <v>0</v>
      </c>
      <c r="AS87" s="309">
        <f>IF(
             AND(LEFT(VLOOKUP(AS$2,'TIS Site Config'!$A$3:$AQ$51,28,FALSE),1)="y",
                        VLOOKUP(AS$2,'TIS Site Config'!$A$3:$AQ$51,6,FALSE)="Non-heated"),
                              1,0)</f>
        <v>0</v>
      </c>
      <c r="AT87" s="134">
        <f>IF(
             AND(LEFT(VLOOKUP(AT$2,'TIS Site Config'!$A$3:$AQ$51,28,FALSE),1)="y",
                        VLOOKUP(AT$2,'TIS Site Config'!$A$3:$AQ$51,6,FALSE)="Non-heated"),
                              1,0)</f>
        <v>0</v>
      </c>
      <c r="AU87" s="309">
        <f>IF(
             AND(LEFT(VLOOKUP(AU$2,'TIS Site Config'!$A$3:$AQ$51,28,FALSE),1)="y",
                        VLOOKUP(AU$2,'TIS Site Config'!$A$3:$AQ$51,6,FALSE)="Non-heated"),
                              1,0)</f>
        <v>1</v>
      </c>
      <c r="AV87" s="134">
        <f>IF(
             AND(LEFT(VLOOKUP(AV$2,'TIS Site Config'!$A$3:$AQ$51,28,FALSE),1)="y",
                        VLOOKUP(AV$2,'TIS Site Config'!$A$3:$AQ$51,6,FALSE)="Non-heated"),
                              1,0)</f>
        <v>0</v>
      </c>
      <c r="AW87" s="134">
        <f>IF(
             AND(LEFT(VLOOKUP(AW$2,'TIS Site Config'!$A$3:$AQ$51,28,FALSE),1)="y",
                        VLOOKUP(AW$2,'TIS Site Config'!$A$3:$AQ$51,6,FALSE)="Non-heated"),
                              1,0)</f>
        <v>0</v>
      </c>
      <c r="AX87" s="212">
        <f>IF(
             AND(LEFT(VLOOKUP(AX$2,'TIS Site Config'!$A$3:$AQ$51,28,FALSE),1)="y",
                        VLOOKUP(AX$2,'TIS Site Config'!$A$3:$AQ$51,6,FALSE)="Non-heated"),
                              1,0)</f>
        <v>0</v>
      </c>
      <c r="AY87" s="134">
        <f>IF(
             AND(LEFT(VLOOKUP(AY$2,'TIS Site Config'!$A$3:$AQ$51,28,FALSE),1)="y",
                        VLOOKUP(AY$2,'TIS Site Config'!$A$3:$AQ$51,6,FALSE)="Non-heated"),
                              1,0)</f>
        <v>0</v>
      </c>
      <c r="AZ87" s="309">
        <f>IF(
             AND(LEFT(VLOOKUP(AZ$2,'TIS Site Config'!$A$3:$AQ$51,28,FALSE),1)="y",
                        VLOOKUP(AZ$2,'TIS Site Config'!$A$3:$AQ$51,6,FALSE)="Non-heated"),
                              1,0)</f>
        <v>0</v>
      </c>
      <c r="BA87" s="213">
        <f>IF(
             AND(LEFT(VLOOKUP(BA$2,'TIS Site Config'!$A$3:$AQ$51,28,FALSE),1)="y",
                        VLOOKUP(BA$2,'TIS Site Config'!$A$3:$AQ$51,6,FALSE)="Non-heated"),
                              1,0)</f>
        <v>0</v>
      </c>
      <c r="BB87" s="134">
        <f>IF(
             AND(LEFT(VLOOKUP(BB$2,'TIS Site Config'!$A$3:$AQ$51,28,FALSE),1)="y",
                        VLOOKUP(BB$2,'TIS Site Config'!$A$3:$AQ$51,6,FALSE)="Non-heated"),
                              1,0)</f>
        <v>0</v>
      </c>
      <c r="BC87" s="212">
        <f>IF(
             AND(LEFT(VLOOKUP(BC$2,'TIS Site Config'!$A$3:$AQ$51,28,FALSE),1)="y",
                        VLOOKUP(BC$2,'TIS Site Config'!$A$3:$AQ$51,6,FALSE)="Non-heated"),
                              1,0)</f>
        <v>0</v>
      </c>
      <c r="BD87" s="134">
        <f>IF(
             AND(LEFT(VLOOKUP(BD$2,'TIS Site Config'!$A$3:$AQ$51,28,FALSE),1)="y",
                        VLOOKUP(BD$2,'TIS Site Config'!$A$3:$AQ$51,6,FALSE)="Non-heated"),
                              1,0)</f>
        <v>0</v>
      </c>
      <c r="BE87" s="309">
        <f>IF(
             AND(LEFT(VLOOKUP(BE$2,'TIS Site Config'!$A$3:$AQ$51,28,FALSE),1)="y",
                        VLOOKUP(BE$2,'TIS Site Config'!$A$3:$AQ$51,6,FALSE)="Non-heated"),
                              1,0)</f>
        <v>0</v>
      </c>
      <c r="BF87" s="212">
        <f>IF(
             AND(LEFT(VLOOKUP(BF$2,'TIS Site Config'!$A$3:$AQ$51,28,FALSE),1)="y",
                        VLOOKUP(BF$2,'TIS Site Config'!$A$3:$AQ$51,6,FALSE)="Non-heated"),
                              1,0)</f>
        <v>0</v>
      </c>
      <c r="BG87" s="1028">
        <f>IF(
             AND(LEFT(VLOOKUP(BG$2,'TIS Site Config'!$A$3:$AQ$51,28,FALSE),1)="y",
                        VLOOKUP(BG$2,'TIS Site Config'!$A$3:$AQ$51,6,FALSE)="Non-heated"),
                              1,0)</f>
        <v>0</v>
      </c>
      <c r="BH87" s="60">
        <f>IF(
             AND(LEFT(VLOOKUP(BH$2,'TIS Site Config'!$A$3:$AQ$51,28,FALSE),1)="y",
                        VLOOKUP(BH$2,'TIS Site Config'!$A$3:$AQ$51,6,FALSE)="Non-heated"),
                              1,0)</f>
        <v>0</v>
      </c>
      <c r="BI87" s="437" t="s">
        <v>968</v>
      </c>
      <c r="BK87" s="3">
        <v>14</v>
      </c>
      <c r="BL87" s="950" t="b">
        <f t="shared" si="6"/>
        <v>0</v>
      </c>
      <c r="BO87" s="950"/>
    </row>
    <row r="88" spans="1:67" ht="15.75" thickBot="1" x14ac:dyDescent="0.3">
      <c r="A88" s="1366"/>
      <c r="B88" s="1344"/>
      <c r="C88" s="70" t="s">
        <v>168</v>
      </c>
      <c r="D88" s="94">
        <v>2</v>
      </c>
      <c r="E88" s="110" t="s">
        <v>315</v>
      </c>
      <c r="F88" s="58">
        <f t="shared" si="5"/>
        <v>26</v>
      </c>
      <c r="G88" s="453"/>
      <c r="H88" s="454"/>
      <c r="I88" s="454">
        <v>1</v>
      </c>
      <c r="J88" s="454"/>
      <c r="K88" s="455"/>
      <c r="L88" s="492"/>
      <c r="M88" s="133">
        <f>IF(
             AND(LEFT(VLOOKUP(M$2,'TIS Site Config'!$A$3:$AQ$51,28,FALSE),1)="y",
                        OR(VLOOKUP(M$2,'TIS Site Config'!$A$3:$AQ$51,6,FALSE)="Heated",
                               VLOOKUP(M$2,'TIS Site Config'!$A$3:$AQ$51,6,FALSE)="Extreme Heated")),
                              1,0)</f>
        <v>1</v>
      </c>
      <c r="N88" s="207">
        <f>IF(
             AND(LEFT(VLOOKUP(N$2,'TIS Site Config'!$A$3:$AQ$51,28,FALSE),1)="y",
                        OR(VLOOKUP(N$2,'TIS Site Config'!$A$3:$AQ$51,6,FALSE)="Heated",
                               VLOOKUP(N$2,'TIS Site Config'!$A$3:$AQ$51,6,FALSE)="Extreme Heated")),
                              1,0)</f>
        <v>1</v>
      </c>
      <c r="O88" s="211">
        <f>IF(
             AND(LEFT(VLOOKUP(O$2,'TIS Site Config'!$A$3:$AQ$51,28,FALSE),1)="y",
                        OR(VLOOKUP(O$2,'TIS Site Config'!$A$3:$AQ$51,6,FALSE)="Heated",
                               VLOOKUP(O$2,'TIS Site Config'!$A$3:$AQ$51,6,FALSE)="Extreme Heated")),
                              1,0)</f>
        <v>1</v>
      </c>
      <c r="P88" s="206">
        <f>IF(
             AND(LEFT(VLOOKUP(P$2,'TIS Site Config'!$A$3:$AQ$51,28,FALSE),1)="y",
                        OR(VLOOKUP(P$2,'TIS Site Config'!$A$3:$AQ$51,6,FALSE)="Heated",
                               VLOOKUP(P$2,'TIS Site Config'!$A$3:$AQ$51,6,FALSE)="Extreme Heated")),
                              1,0)</f>
        <v>1</v>
      </c>
      <c r="Q88" s="207">
        <f>IF(
             AND(LEFT(VLOOKUP(Q$2,'TIS Site Config'!$A$3:$AQ$51,28,FALSE),1)="y",
                        OR(VLOOKUP(Q$2,'TIS Site Config'!$A$3:$AQ$51,6,FALSE)="Heated",
                               VLOOKUP(Q$2,'TIS Site Config'!$A$3:$AQ$51,6,FALSE)="Extreme Heated")),
                              1,0)</f>
        <v>1</v>
      </c>
      <c r="R88" s="133">
        <f>IF(
             AND(LEFT(VLOOKUP(R$2,'TIS Site Config'!$A$3:$AQ$51,28,FALSE),1)="y",
                        OR(VLOOKUP(R$2,'TIS Site Config'!$A$3:$AQ$51,6,FALSE)="Heated",
                               VLOOKUP(R$2,'TIS Site Config'!$A$3:$AQ$51,6,FALSE)="Extreme Heated")),
                              1,0)</f>
        <v>0</v>
      </c>
      <c r="S88" s="206">
        <f>IF(
             AND(LEFT(VLOOKUP(S$2,'TIS Site Config'!$A$3:$AQ$51,28,FALSE),1)="y",
                        OR(VLOOKUP(S$2,'TIS Site Config'!$A$3:$AQ$51,6,FALSE)="Heated",
                               VLOOKUP(S$2,'TIS Site Config'!$A$3:$AQ$51,6,FALSE)="Extreme Heated")),
                              1,0)</f>
        <v>0</v>
      </c>
      <c r="T88" s="207">
        <f>IF(
             AND(LEFT(VLOOKUP(T$2,'TIS Site Config'!$A$3:$AQ$51,28,FALSE),1)="y",
                        OR(VLOOKUP(T$2,'TIS Site Config'!$A$3:$AQ$51,6,FALSE)="Heated",
                               VLOOKUP(T$2,'TIS Site Config'!$A$3:$AQ$51,6,FALSE)="Extreme Heated")),
                              1,0)</f>
        <v>0</v>
      </c>
      <c r="U88" s="133">
        <f>IF(
             AND(LEFT(VLOOKUP(U$2,'TIS Site Config'!$A$3:$AQ$51,28,FALSE),1)="y",
                        OR(VLOOKUP(U$2,'TIS Site Config'!$A$3:$AQ$51,6,FALSE)="Heated",
                               VLOOKUP(U$2,'TIS Site Config'!$A$3:$AQ$51,6,FALSE)="Extreme Heated")),
                              1,0)</f>
        <v>0</v>
      </c>
      <c r="V88" s="207">
        <f>IF(
             AND(LEFT(VLOOKUP(V$2,'TIS Site Config'!$A$3:$AQ$51,28,FALSE),1)="y",
                        OR(VLOOKUP(V$2,'TIS Site Config'!$A$3:$AQ$51,6,FALSE)="Heated",
                               VLOOKUP(V$2,'TIS Site Config'!$A$3:$AQ$51,6,FALSE)="Extreme Heated")),
                              1,0)</f>
        <v>0</v>
      </c>
      <c r="W88" s="210">
        <f>IF(
             AND(LEFT(VLOOKUP(W$2,'TIS Site Config'!$A$3:$AQ$51,28,FALSE),1)="y",
                        OR(VLOOKUP(W$2,'TIS Site Config'!$A$3:$AQ$51,6,FALSE)="Heated",
                               VLOOKUP(W$2,'TIS Site Config'!$A$3:$AQ$51,6,FALSE)="Extreme Heated")),
                              1,0)</f>
        <v>1</v>
      </c>
      <c r="X88" s="206">
        <f>IF(
             AND(LEFT(VLOOKUP(X$2,'TIS Site Config'!$A$3:$AQ$51,28,FALSE),1)="y",
                        OR(VLOOKUP(X$2,'TIS Site Config'!$A$3:$AQ$51,6,FALSE)="Heated",
                               VLOOKUP(X$2,'TIS Site Config'!$A$3:$AQ$51,6,FALSE)="Extreme Heated")),
                              1,0)</f>
        <v>1</v>
      </c>
      <c r="Y88" s="207">
        <f>IF(
             AND(LEFT(VLOOKUP(Y$2,'TIS Site Config'!$A$3:$AQ$51,28,FALSE),1)="y",
                        OR(VLOOKUP(Y$2,'TIS Site Config'!$A$3:$AQ$51,6,FALSE)="Heated",
                               VLOOKUP(Y$2,'TIS Site Config'!$A$3:$AQ$51,6,FALSE)="Extreme Heated")),
                              1,0)</f>
        <v>1</v>
      </c>
      <c r="Z88" s="133">
        <f>IF(
             AND(LEFT(VLOOKUP(Z$2,'TIS Site Config'!$A$3:$AQ$51,28,FALSE),1)="y",
                        OR(VLOOKUP(Z$2,'TIS Site Config'!$A$3:$AQ$51,6,FALSE)="Heated",
                               VLOOKUP(Z$2,'TIS Site Config'!$A$3:$AQ$51,6,FALSE)="Extreme Heated")),
                              1,0)</f>
        <v>0</v>
      </c>
      <c r="AA88" s="206">
        <f>IF(
             AND(LEFT(VLOOKUP(AA$2,'TIS Site Config'!$A$3:$AQ$51,28,FALSE),1)="y",
                        OR(VLOOKUP(AA$2,'TIS Site Config'!$A$3:$AQ$51,6,FALSE)="Heated",
                               VLOOKUP(AA$2,'TIS Site Config'!$A$3:$AQ$51,6,FALSE)="Extreme Heated")),
                              1,0)</f>
        <v>1</v>
      </c>
      <c r="AB88" s="207">
        <f>IF(
             AND(LEFT(VLOOKUP(AB$2,'TIS Site Config'!$A$3:$AQ$51,28,FALSE),1)="y",
                        OR(VLOOKUP(AB$2,'TIS Site Config'!$A$3:$AQ$51,6,FALSE)="Heated",
                               VLOOKUP(AB$2,'TIS Site Config'!$A$3:$AQ$51,6,FALSE)="Extreme Heated")),
                              1,0)</f>
        <v>1</v>
      </c>
      <c r="AC88" s="206">
        <f>IF(
             AND(LEFT(VLOOKUP(AC$2,'TIS Site Config'!$A$3:$AQ$51,28,FALSE),1)="y",
                        OR(VLOOKUP(AC$2,'TIS Site Config'!$A$3:$AQ$51,6,FALSE)="Heated",
                               VLOOKUP(AC$2,'TIS Site Config'!$A$3:$AQ$51,6,FALSE)="Extreme Heated")),
                              1,0)</f>
        <v>1</v>
      </c>
      <c r="AD88" s="208">
        <f>IF(
             AND(LEFT(VLOOKUP(AD$2,'TIS Site Config'!$A$3:$AQ$51,28,FALSE),1)="y",
                        OR(VLOOKUP(AD$2,'TIS Site Config'!$A$3:$AQ$51,6,FALSE)="Heated",
                               VLOOKUP(AD$2,'TIS Site Config'!$A$3:$AQ$51,6,FALSE)="Extreme Heated")),
                              1,0)</f>
        <v>1</v>
      </c>
      <c r="AE88" s="208">
        <f>IF(
             AND(LEFT(VLOOKUP(AE$2,'TIS Site Config'!$A$3:$AQ$51,28,FALSE),1)="y",
                        OR(VLOOKUP(AE$2,'TIS Site Config'!$A$3:$AQ$51,6,FALSE)="Heated",
                               VLOOKUP(AE$2,'TIS Site Config'!$A$3:$AQ$51,6,FALSE)="Extreme Heated")),
                              1,0)</f>
        <v>1</v>
      </c>
      <c r="AF88" s="209">
        <f>IF(
             AND(LEFT(VLOOKUP(AF$2,'TIS Site Config'!$A$3:$AQ$51,28,FALSE),1)="y",
                        OR(VLOOKUP(AF$2,'TIS Site Config'!$A$3:$AQ$51,6,FALSE)="Heated",
                               VLOOKUP(AF$2,'TIS Site Config'!$A$3:$AQ$51,6,FALSE)="Extreme Heated")),
                              1,0)</f>
        <v>0</v>
      </c>
      <c r="AG88" s="206">
        <f>IF(
             AND(LEFT(VLOOKUP(AG$2,'TIS Site Config'!$A$3:$AQ$51,28,FALSE),1)="y",
                        OR(VLOOKUP(AG$2,'TIS Site Config'!$A$3:$AQ$51,6,FALSE)="Heated",
                               VLOOKUP(AG$2,'TIS Site Config'!$A$3:$AQ$51,6,FALSE)="Extreme Heated")),
                              1,0)</f>
        <v>0</v>
      </c>
      <c r="AH88" s="207">
        <f>IF(
             AND(LEFT(VLOOKUP(AH$2,'TIS Site Config'!$A$3:$AQ$51,28,FALSE),1)="y",
                        OR(VLOOKUP(AH$2,'TIS Site Config'!$A$3:$AQ$51,6,FALSE)="Heated",
                               VLOOKUP(AH$2,'TIS Site Config'!$A$3:$AQ$51,6,FALSE)="Extreme Heated")),
                              1,0)</f>
        <v>0</v>
      </c>
      <c r="AI88" s="133">
        <f>IF(
             AND(LEFT(VLOOKUP(AI$2,'TIS Site Config'!$A$3:$AQ$51,28,FALSE),1)="y",
                        OR(VLOOKUP(AI$2,'TIS Site Config'!$A$3:$AQ$51,6,FALSE)="Heated",
                               VLOOKUP(AI$2,'TIS Site Config'!$A$3:$AQ$51,6,FALSE)="Extreme Heated")),
                              1,0)</f>
        <v>0</v>
      </c>
      <c r="AJ88" s="206">
        <f>IF(
             AND(LEFT(VLOOKUP(AJ$2,'TIS Site Config'!$A$3:$AQ$51,28,FALSE),1)="y",
                        OR(VLOOKUP(AJ$2,'TIS Site Config'!$A$3:$AQ$51,6,FALSE)="Heated",
                               VLOOKUP(AJ$2,'TIS Site Config'!$A$3:$AQ$51,6,FALSE)="Extreme Heated")),
                              1,0)</f>
        <v>1</v>
      </c>
      <c r="AK88" s="207">
        <f>IF(
             AND(LEFT(VLOOKUP(AK$2,'TIS Site Config'!$A$3:$AQ$51,28,FALSE),1)="y",
                        OR(VLOOKUP(AK$2,'TIS Site Config'!$A$3:$AQ$51,6,FALSE)="Heated",
                               VLOOKUP(AK$2,'TIS Site Config'!$A$3:$AQ$51,6,FALSE)="Extreme Heated")),
                              1,0)</f>
        <v>1</v>
      </c>
      <c r="AL88" s="133">
        <f>IF(
             AND(LEFT(VLOOKUP(AL$2,'TIS Site Config'!$A$3:$AQ$51,28,FALSE),1)="y",
                        OR(VLOOKUP(AL$2,'TIS Site Config'!$A$3:$AQ$51,6,FALSE)="Heated",
                               VLOOKUP(AL$2,'TIS Site Config'!$A$3:$AQ$51,6,FALSE)="Extreme Heated")),
                              1,0)</f>
        <v>0</v>
      </c>
      <c r="AM88" s="206">
        <f>IF(
             AND(LEFT(VLOOKUP(AM$2,'TIS Site Config'!$A$3:$AQ$51,28,FALSE),1)="y",
                        OR(VLOOKUP(AM$2,'TIS Site Config'!$A$3:$AQ$51,6,FALSE)="Heated",
                               VLOOKUP(AM$2,'TIS Site Config'!$A$3:$AQ$51,6,FALSE)="Extreme Heated")),
                              1,0)</f>
        <v>1</v>
      </c>
      <c r="AN88" s="207">
        <f>IF(
             AND(LEFT(VLOOKUP(AN$2,'TIS Site Config'!$A$3:$AQ$51,28,FALSE),1)="y",
                        OR(VLOOKUP(AN$2,'TIS Site Config'!$A$3:$AQ$51,6,FALSE)="Heated",
                               VLOOKUP(AN$2,'TIS Site Config'!$A$3:$AQ$51,6,FALSE)="Extreme Heated")),
                              1,0)</f>
        <v>1</v>
      </c>
      <c r="AO88" s="133">
        <f>IF(
             AND(LEFT(VLOOKUP(AO$2,'TIS Site Config'!$A$3:$AQ$51,28,FALSE),1)="y",
                        OR(VLOOKUP(AO$2,'TIS Site Config'!$A$3:$AQ$51,6,FALSE)="Heated",
                               VLOOKUP(AO$2,'TIS Site Config'!$A$3:$AQ$51,6,FALSE)="Extreme Heated")),
                              1,0)</f>
        <v>0</v>
      </c>
      <c r="AP88" s="206">
        <f>IF(
             AND(LEFT(VLOOKUP(AP$2,'TIS Site Config'!$A$3:$AQ$51,28,FALSE),1)="y",
                        OR(VLOOKUP(AP$2,'TIS Site Config'!$A$3:$AQ$51,6,FALSE)="Heated",
                               VLOOKUP(AP$2,'TIS Site Config'!$A$3:$AQ$51,6,FALSE)="Extreme Heated")),
                              1,0)</f>
        <v>1</v>
      </c>
      <c r="AQ88" s="133">
        <f>IF(
             AND(LEFT(VLOOKUP(AQ$2,'TIS Site Config'!$A$3:$AQ$51,28,FALSE),1)="y",
                        OR(VLOOKUP(AQ$2,'TIS Site Config'!$A$3:$AQ$51,6,FALSE)="Heated",
                               VLOOKUP(AQ$2,'TIS Site Config'!$A$3:$AQ$51,6,FALSE)="Extreme Heated")),
                              1,0)</f>
        <v>0</v>
      </c>
      <c r="AR88" s="133">
        <f>IF(
             AND(LEFT(VLOOKUP(AR$2,'TIS Site Config'!$A$3:$AQ$51,28,FALSE),1)="y",
                        OR(VLOOKUP(AR$2,'TIS Site Config'!$A$3:$AQ$51,6,FALSE)="Heated",
                               VLOOKUP(AR$2,'TIS Site Config'!$A$3:$AQ$51,6,FALSE)="Extreme Heated")),
                              1,0)</f>
        <v>0</v>
      </c>
      <c r="AS88" s="206">
        <f>IF(
             AND(LEFT(VLOOKUP(AS$2,'TIS Site Config'!$A$3:$AQ$51,28,FALSE),1)="y",
                        OR(VLOOKUP(AS$2,'TIS Site Config'!$A$3:$AQ$51,6,FALSE)="Heated",
                               VLOOKUP(AS$2,'TIS Site Config'!$A$3:$AQ$51,6,FALSE)="Extreme Heated")),
                              1,0)</f>
        <v>1</v>
      </c>
      <c r="AT88" s="133">
        <f>IF(
             AND(LEFT(VLOOKUP(AT$2,'TIS Site Config'!$A$3:$AQ$51,28,FALSE),1)="y",
                        OR(VLOOKUP(AT$2,'TIS Site Config'!$A$3:$AQ$51,6,FALSE)="Heated",
                               VLOOKUP(AT$2,'TIS Site Config'!$A$3:$AQ$51,6,FALSE)="Extreme Heated")),
                              1,0)</f>
        <v>0</v>
      </c>
      <c r="AU88" s="206">
        <f>IF(
             AND(LEFT(VLOOKUP(AU$2,'TIS Site Config'!$A$3:$AQ$51,28,FALSE),1)="y",
                        OR(VLOOKUP(AU$2,'TIS Site Config'!$A$3:$AQ$51,6,FALSE)="Heated",
                               VLOOKUP(AU$2,'TIS Site Config'!$A$3:$AQ$51,6,FALSE)="Extreme Heated")),
                              1,0)</f>
        <v>0</v>
      </c>
      <c r="AV88" s="133">
        <f>IF(
             AND(LEFT(VLOOKUP(AV$2,'TIS Site Config'!$A$3:$AQ$51,28,FALSE),1)="y",
                        OR(VLOOKUP(AV$2,'TIS Site Config'!$A$3:$AQ$51,6,FALSE)="Heated",
                               VLOOKUP(AV$2,'TIS Site Config'!$A$3:$AQ$51,6,FALSE)="Extreme Heated")),
                              1,0)</f>
        <v>0</v>
      </c>
      <c r="AW88" s="133">
        <f>IF(
             AND(LEFT(VLOOKUP(AW$2,'TIS Site Config'!$A$3:$AQ$51,28,FALSE),1)="y",
                        OR(VLOOKUP(AW$2,'TIS Site Config'!$A$3:$AQ$51,6,FALSE)="Heated",
                               VLOOKUP(AW$2,'TIS Site Config'!$A$3:$AQ$51,6,FALSE)="Extreme Heated")),
                              1,0)</f>
        <v>1</v>
      </c>
      <c r="AX88" s="207">
        <f>IF(
             AND(LEFT(VLOOKUP(AX$2,'TIS Site Config'!$A$3:$AQ$51,28,FALSE),1)="y",
                        OR(VLOOKUP(AX$2,'TIS Site Config'!$A$3:$AQ$51,6,FALSE)="Heated",
                               VLOOKUP(AX$2,'TIS Site Config'!$A$3:$AQ$51,6,FALSE)="Extreme Heated")),
                              1,0)</f>
        <v>1</v>
      </c>
      <c r="AY88" s="133">
        <f>IF(
             AND(LEFT(VLOOKUP(AY$2,'TIS Site Config'!$A$3:$AQ$51,28,FALSE),1)="y",
                        OR(VLOOKUP(AY$2,'TIS Site Config'!$A$3:$AQ$51,6,FALSE)="Heated",
                               VLOOKUP(AY$2,'TIS Site Config'!$A$3:$AQ$51,6,FALSE)="Extreme Heated")),
                              1,0)</f>
        <v>0</v>
      </c>
      <c r="AZ88" s="206">
        <f>IF(
             AND(LEFT(VLOOKUP(AZ$2,'TIS Site Config'!$A$3:$AQ$51,28,FALSE),1)="y",
                        OR(VLOOKUP(AZ$2,'TIS Site Config'!$A$3:$AQ$51,6,FALSE)="Heated",
                               VLOOKUP(AZ$2,'TIS Site Config'!$A$3:$AQ$51,6,FALSE)="Extreme Heated")),
                              1,0)</f>
        <v>1</v>
      </c>
      <c r="BA88" s="208">
        <f>IF(
             AND(LEFT(VLOOKUP(BA$2,'TIS Site Config'!$A$3:$AQ$51,28,FALSE),1)="y",
                        OR(VLOOKUP(BA$2,'TIS Site Config'!$A$3:$AQ$51,6,FALSE)="Heated",
                               VLOOKUP(BA$2,'TIS Site Config'!$A$3:$AQ$51,6,FALSE)="Extreme Heated")),
                              1,0)</f>
        <v>1</v>
      </c>
      <c r="BB88" s="133">
        <f>IF(
             AND(LEFT(VLOOKUP(BB$2,'TIS Site Config'!$A$3:$AQ$51,28,FALSE),1)="y",
                        OR(VLOOKUP(BB$2,'TIS Site Config'!$A$3:$AQ$51,6,FALSE)="Heated",
                               VLOOKUP(BB$2,'TIS Site Config'!$A$3:$AQ$51,6,FALSE)="Extreme Heated")),
                              1,0)</f>
        <v>0</v>
      </c>
      <c r="BC88" s="207">
        <f>IF(
             AND(LEFT(VLOOKUP(BC$2,'TIS Site Config'!$A$3:$AQ$51,28,FALSE),1)="y",
                        OR(VLOOKUP(BC$2,'TIS Site Config'!$A$3:$AQ$51,6,FALSE)="Heated",
                               VLOOKUP(BC$2,'TIS Site Config'!$A$3:$AQ$51,6,FALSE)="Extreme Heated")),
                              1,0)</f>
        <v>1</v>
      </c>
      <c r="BD88" s="133">
        <f>IF(
             AND(LEFT(VLOOKUP(BD$2,'TIS Site Config'!$A$3:$AQ$51,28,FALSE),1)="y",
                        OR(VLOOKUP(BD$2,'TIS Site Config'!$A$3:$AQ$51,6,FALSE)="Heated",
                               VLOOKUP(BD$2,'TIS Site Config'!$A$3:$AQ$51,6,FALSE)="Extreme Heated")),
                              1,0)</f>
        <v>0</v>
      </c>
      <c r="BE88" s="206">
        <f>IF(
             AND(LEFT(VLOOKUP(BE$2,'TIS Site Config'!$A$3:$AQ$51,28,FALSE),1)="y",
                        OR(VLOOKUP(BE$2,'TIS Site Config'!$A$3:$AQ$51,6,FALSE)="Heated",
                               VLOOKUP(BE$2,'TIS Site Config'!$A$3:$AQ$51,6,FALSE)="Extreme Heated")),
                              1,0)</f>
        <v>1</v>
      </c>
      <c r="BF88" s="207">
        <f>IF(
             AND(LEFT(VLOOKUP(BF$2,'TIS Site Config'!$A$3:$AQ$51,28,FALSE),1)="y",
                        OR(VLOOKUP(BF$2,'TIS Site Config'!$A$3:$AQ$51,6,FALSE)="Heated",
                               VLOOKUP(BF$2,'TIS Site Config'!$A$3:$AQ$51,6,FALSE)="Extreme Heated")),
                              1,0)</f>
        <v>1</v>
      </c>
      <c r="BG88" s="58">
        <f>IF(
             AND(LEFT(VLOOKUP(BG$2,'TIS Site Config'!$A$3:$AQ$51,28,FALSE),1)="y",
                        OR(VLOOKUP(BG$2,'TIS Site Config'!$A$3:$AQ$51,6,FALSE)="Heated",
                               VLOOKUP(BG$2,'TIS Site Config'!$A$3:$AQ$51,6,FALSE)="Extreme Heated")),
                              1,0)</f>
        <v>0</v>
      </c>
      <c r="BH88" s="58">
        <f>IF(
             AND(LEFT(VLOOKUP(BH$2,'TIS Site Config'!$A$3:$AQ$51,28,FALSE),1)="y",
                        OR(VLOOKUP(BH$2,'TIS Site Config'!$A$3:$AQ$51,6,FALSE)="Heated",
                               VLOOKUP(BH$2,'TIS Site Config'!$A$3:$AQ$51,6,FALSE)="Extreme Heated")),
                              1,0)</f>
        <v>1</v>
      </c>
      <c r="BK88" s="3">
        <v>35</v>
      </c>
      <c r="BL88" s="950" t="b">
        <f t="shared" si="6"/>
        <v>0</v>
      </c>
      <c r="BO88" s="950"/>
    </row>
    <row r="89" spans="1:67" ht="15.75" thickTop="1" x14ac:dyDescent="0.25">
      <c r="A89" s="1366"/>
      <c r="B89" s="1342" t="s">
        <v>28</v>
      </c>
      <c r="C89" s="57" t="s">
        <v>169</v>
      </c>
      <c r="D89" s="90">
        <v>2</v>
      </c>
      <c r="E89" s="84" t="s">
        <v>295</v>
      </c>
      <c r="F89" s="60">
        <f t="shared" si="5"/>
        <v>20</v>
      </c>
      <c r="G89" s="459"/>
      <c r="H89" s="460">
        <v>2</v>
      </c>
      <c r="I89" s="460"/>
      <c r="J89" s="460"/>
      <c r="K89" s="461"/>
      <c r="L89" s="494"/>
      <c r="M89" s="134">
        <f>IF(
             AND(VLOOKUP(M$2,'TIS Site Config'!$A$3:$AQ$51,5,FALSE)="Core"),
                              1,0)</f>
        <v>1</v>
      </c>
      <c r="N89" s="212">
        <f>IF(
             AND(VLOOKUP(N$2,'TIS Site Config'!$A$3:$AQ$51,5,FALSE)="Core"),
                              1,0)</f>
        <v>0</v>
      </c>
      <c r="O89" s="215">
        <f>IF(
             AND(VLOOKUP(O$2,'TIS Site Config'!$A$3:$AQ$51,5,FALSE)="Core"),
                              1,0)</f>
        <v>1</v>
      </c>
      <c r="P89" s="309">
        <f>IF(
             AND(VLOOKUP(P$2,'TIS Site Config'!$A$3:$AQ$51,5,FALSE)="Core"),
                              1,0)</f>
        <v>0</v>
      </c>
      <c r="Q89" s="212">
        <f>IF(
             AND(VLOOKUP(Q$2,'TIS Site Config'!$A$3:$AQ$51,5,FALSE)="Core"),
                              1,0)</f>
        <v>0</v>
      </c>
      <c r="R89" s="134">
        <f>IF(
             AND(VLOOKUP(R$2,'TIS Site Config'!$A$3:$AQ$51,5,FALSE)="Core"),
                              1,0)</f>
        <v>1</v>
      </c>
      <c r="S89" s="309">
        <f>IF(
             AND(VLOOKUP(S$2,'TIS Site Config'!$A$3:$AQ$51,5,FALSE)="Core"),
                              1,0)</f>
        <v>0</v>
      </c>
      <c r="T89" s="212">
        <f>IF(
             AND(VLOOKUP(T$2,'TIS Site Config'!$A$3:$AQ$51,5,FALSE)="Core"),
                              1,0)</f>
        <v>0</v>
      </c>
      <c r="U89" s="134">
        <f>IF(
             AND(VLOOKUP(U$2,'TIS Site Config'!$A$3:$AQ$51,5,FALSE)="Core"),
                              1,0)</f>
        <v>1</v>
      </c>
      <c r="V89" s="212">
        <f>IF(
             AND(VLOOKUP(V$2,'TIS Site Config'!$A$3:$AQ$51,5,FALSE)="Core"),
                              1,0)</f>
        <v>0</v>
      </c>
      <c r="W89" s="214">
        <f>IF(
             AND(VLOOKUP(W$2,'TIS Site Config'!$A$3:$AQ$51,5,FALSE)="Core"),
                              1,0)</f>
        <v>1</v>
      </c>
      <c r="X89" s="309">
        <f>IF(
             AND(VLOOKUP(X$2,'TIS Site Config'!$A$3:$AQ$51,5,FALSE)="Core"),
                              1,0)</f>
        <v>0</v>
      </c>
      <c r="Y89" s="212">
        <f>IF(
             AND(VLOOKUP(Y$2,'TIS Site Config'!$A$3:$AQ$51,5,FALSE)="Core"),
                              1,0)</f>
        <v>0</v>
      </c>
      <c r="Z89" s="134">
        <f>IF(
             AND(VLOOKUP(Z$2,'TIS Site Config'!$A$3:$AQ$51,5,FALSE)="Core"),
                              1,0)</f>
        <v>1</v>
      </c>
      <c r="AA89" s="309">
        <f>IF(
             AND(VLOOKUP(AA$2,'TIS Site Config'!$A$3:$AQ$51,5,FALSE)="Core"),
                              1,0)</f>
        <v>0</v>
      </c>
      <c r="AB89" s="212">
        <f>IF(
             AND(VLOOKUP(AB$2,'TIS Site Config'!$A$3:$AQ$51,5,FALSE)="Core"),
                              1,0)</f>
        <v>0</v>
      </c>
      <c r="AC89" s="309">
        <f>IF(
             AND(VLOOKUP(AC$2,'TIS Site Config'!$A$3:$AQ$51,5,FALSE)="Core"),
                              1,0)</f>
        <v>1</v>
      </c>
      <c r="AD89" s="213">
        <f>IF(
             AND(VLOOKUP(AD$2,'TIS Site Config'!$A$3:$AQ$51,5,FALSE)="Core"),
                              1,0)</f>
        <v>0</v>
      </c>
      <c r="AE89" s="213">
        <f>IF(
             AND(VLOOKUP(AE$2,'TIS Site Config'!$A$3:$AQ$51,5,FALSE)="Core"),
                              1,0)</f>
        <v>0</v>
      </c>
      <c r="AF89" s="39">
        <f>IF(
             AND(VLOOKUP(AF$2,'TIS Site Config'!$A$3:$AQ$51,5,FALSE)="Core"),
                              1,0)</f>
        <v>1</v>
      </c>
      <c r="AG89" s="309">
        <f>IF(
             AND(VLOOKUP(AG$2,'TIS Site Config'!$A$3:$AQ$51,5,FALSE)="Core"),
                              1,0)</f>
        <v>0</v>
      </c>
      <c r="AH89" s="212">
        <f>IF(
             AND(VLOOKUP(AH$2,'TIS Site Config'!$A$3:$AQ$51,5,FALSE)="Core"),
                              1,0)</f>
        <v>0</v>
      </c>
      <c r="AI89" s="134">
        <f>IF(
             AND(VLOOKUP(AI$2,'TIS Site Config'!$A$3:$AQ$51,5,FALSE)="Core"),
                              1,0)</f>
        <v>1</v>
      </c>
      <c r="AJ89" s="309">
        <f>IF(
             AND(VLOOKUP(AJ$2,'TIS Site Config'!$A$3:$AQ$51,5,FALSE)="Core"),
                              1,0)</f>
        <v>0</v>
      </c>
      <c r="AK89" s="212">
        <f>IF(
             AND(VLOOKUP(AK$2,'TIS Site Config'!$A$3:$AQ$51,5,FALSE)="Core"),
                              1,0)</f>
        <v>0</v>
      </c>
      <c r="AL89" s="1012">
        <f>IF(
             AND(VLOOKUP(AL$2,'TIS Site Config'!$A$3:$AQ$51,5,FALSE)="Core"),
                              1,0)</f>
        <v>1</v>
      </c>
      <c r="AM89" s="309">
        <f>IF(
             AND(VLOOKUP(AM$2,'TIS Site Config'!$A$3:$AQ$51,5,FALSE)="Core"),
                              1,0)</f>
        <v>0</v>
      </c>
      <c r="AN89" s="212">
        <f>IF(
             AND(VLOOKUP(AN$2,'TIS Site Config'!$A$3:$AQ$51,5,FALSE)="Core"),
                              1,0)</f>
        <v>0</v>
      </c>
      <c r="AO89" s="134">
        <f>IF(
             AND(VLOOKUP(AO$2,'TIS Site Config'!$A$3:$AQ$51,5,FALSE)="Core"),
                              1,0)</f>
        <v>1</v>
      </c>
      <c r="AP89" s="309">
        <f>IF(
             AND(VLOOKUP(AP$2,'TIS Site Config'!$A$3:$AQ$51,5,FALSE)="Core"),
                              1,0)</f>
        <v>0</v>
      </c>
      <c r="AQ89" s="134">
        <f>IF(
             AND(VLOOKUP(AQ$2,'TIS Site Config'!$A$3:$AQ$51,5,FALSE)="Core"),
                              1,0)</f>
        <v>1</v>
      </c>
      <c r="AR89" s="134">
        <f>IF(
             AND(VLOOKUP(AR$2,'TIS Site Config'!$A$3:$AQ$51,5,FALSE)="Core"),
                              1,0)</f>
        <v>1</v>
      </c>
      <c r="AS89" s="309">
        <f>IF(
             AND(VLOOKUP(AS$2,'TIS Site Config'!$A$3:$AQ$51,5,FALSE)="Core"),
                              1,0)</f>
        <v>0</v>
      </c>
      <c r="AT89" s="134">
        <f>IF(
             AND(VLOOKUP(AT$2,'TIS Site Config'!$A$3:$AQ$51,5,FALSE)="Core"),
                              1,0)</f>
        <v>1</v>
      </c>
      <c r="AU89" s="309">
        <f>IF(
             AND(VLOOKUP(AU$2,'TIS Site Config'!$A$3:$AQ$51,5,FALSE)="Core"),
                              1,0)</f>
        <v>0</v>
      </c>
      <c r="AV89" s="134">
        <f>IF(
             AND(VLOOKUP(AV$2,'TIS Site Config'!$A$3:$AQ$51,5,FALSE)="Core"),
                              1,0)</f>
        <v>1</v>
      </c>
      <c r="AW89" s="134">
        <f>IF(
             AND(VLOOKUP(AW$2,'TIS Site Config'!$A$3:$AQ$51,5,FALSE)="Core"),
                              1,0)</f>
        <v>1</v>
      </c>
      <c r="AX89" s="212">
        <f>IF(
             AND(VLOOKUP(AX$2,'TIS Site Config'!$A$3:$AQ$51,5,FALSE)="Core"),
                              1,0)</f>
        <v>0</v>
      </c>
      <c r="AY89" s="134">
        <f>IF(
             AND(VLOOKUP(AY$2,'TIS Site Config'!$A$3:$AQ$51,5,FALSE)="Core"),
                              1,0)</f>
        <v>1</v>
      </c>
      <c r="AZ89" s="309">
        <f>IF(
             AND(VLOOKUP(AZ$2,'TIS Site Config'!$A$3:$AQ$51,5,FALSE)="Core"),
                              1,0)</f>
        <v>0</v>
      </c>
      <c r="BA89" s="213">
        <f>IF(
             AND(VLOOKUP(BA$2,'TIS Site Config'!$A$3:$AQ$51,5,FALSE)="Core"),
                              1,0)</f>
        <v>0</v>
      </c>
      <c r="BB89" s="134">
        <f>IF(
             AND(VLOOKUP(BB$2,'TIS Site Config'!$A$3:$AQ$51,5,FALSE)="Core"),
                              1,0)</f>
        <v>1</v>
      </c>
      <c r="BC89" s="212">
        <f>IF(
             AND(VLOOKUP(BC$2,'TIS Site Config'!$A$3:$AQ$51,5,FALSE)="Core"),
                              1,0)</f>
        <v>0</v>
      </c>
      <c r="BD89" s="134">
        <f>IF(
             AND(VLOOKUP(BD$2,'TIS Site Config'!$A$3:$AQ$51,5,FALSE)="Core"),
                              1,0)</f>
        <v>1</v>
      </c>
      <c r="BE89" s="309">
        <f>IF(
             AND(VLOOKUP(BE$2,'TIS Site Config'!$A$3:$AQ$51,5,FALSE)="Core"),
                              1,0)</f>
        <v>0</v>
      </c>
      <c r="BF89" s="212">
        <f>IF(
             AND(VLOOKUP(BF$2,'TIS Site Config'!$A$3:$AQ$51,5,FALSE)="Core"),
                              1,0)</f>
        <v>0</v>
      </c>
      <c r="BG89" s="60">
        <f>IF(
             AND(VLOOKUP(BG$2,'TIS Site Config'!$A$3:$AQ$51,5,FALSE)="Core"),
                              1,0)</f>
        <v>1</v>
      </c>
      <c r="BH89" s="60">
        <f>IF(
             AND(VLOOKUP(BH$2,'TIS Site Config'!$A$3:$AQ$51,5,FALSE)="Core"),
                              1,0)</f>
        <v>1</v>
      </c>
      <c r="BK89" s="3">
        <v>19</v>
      </c>
      <c r="BL89" s="950" t="b">
        <f t="shared" si="6"/>
        <v>0</v>
      </c>
      <c r="BO89" s="950"/>
    </row>
    <row r="90" spans="1:67" ht="15.75" thickBot="1" x14ac:dyDescent="0.3">
      <c r="A90" s="1366"/>
      <c r="B90" s="1344"/>
      <c r="C90" s="70" t="s">
        <v>170</v>
      </c>
      <c r="D90" s="94">
        <v>2</v>
      </c>
      <c r="E90" s="110" t="s">
        <v>316</v>
      </c>
      <c r="F90" s="58">
        <f t="shared" si="5"/>
        <v>27</v>
      </c>
      <c r="G90" s="453"/>
      <c r="H90" s="454">
        <v>1</v>
      </c>
      <c r="I90" s="454"/>
      <c r="J90" s="454"/>
      <c r="K90" s="455"/>
      <c r="L90" s="492"/>
      <c r="M90" s="133">
        <f>IF(
             VLOOKUP(M$2,'TIS Site Config'!$A$3:$AQ$51,5,FALSE)="Relocatable",
                              1,0)</f>
        <v>0</v>
      </c>
      <c r="N90" s="207">
        <f>IF(
             VLOOKUP(N$2,'TIS Site Config'!$A$3:$AQ$51,5,FALSE)="Relocatable",
                              1,0)</f>
        <v>1</v>
      </c>
      <c r="O90" s="211">
        <f>IF(
             VLOOKUP(O$2,'TIS Site Config'!$A$3:$AQ$51,5,FALSE)="Relocatable",
                              1,0)</f>
        <v>0</v>
      </c>
      <c r="P90" s="206">
        <f>IF(
             VLOOKUP(P$2,'TIS Site Config'!$A$3:$AQ$51,5,FALSE)="Relocatable",
                              1,0)</f>
        <v>1</v>
      </c>
      <c r="Q90" s="207">
        <f>IF(
             VLOOKUP(Q$2,'TIS Site Config'!$A$3:$AQ$51,5,FALSE)="Relocatable",
                              1,0)</f>
        <v>1</v>
      </c>
      <c r="R90" s="133">
        <f>IF(
             VLOOKUP(R$2,'TIS Site Config'!$A$3:$AQ$51,5,FALSE)="Relocatable",
                              1,0)</f>
        <v>0</v>
      </c>
      <c r="S90" s="206">
        <f>IF(
             VLOOKUP(S$2,'TIS Site Config'!$A$3:$AQ$51,5,FALSE)="Relocatable",
                              1,0)</f>
        <v>1</v>
      </c>
      <c r="T90" s="207">
        <f>IF(
             VLOOKUP(T$2,'TIS Site Config'!$A$3:$AQ$51,5,FALSE)="Relocatable",
                              1,0)</f>
        <v>1</v>
      </c>
      <c r="U90" s="133">
        <f>IF(
             VLOOKUP(U$2,'TIS Site Config'!$A$3:$AQ$51,5,FALSE)="Relocatable",
                              1,0)</f>
        <v>0</v>
      </c>
      <c r="V90" s="207">
        <f>IF(
             VLOOKUP(V$2,'TIS Site Config'!$A$3:$AQ$51,5,FALSE)="Relocatable",
                              1,0)</f>
        <v>1</v>
      </c>
      <c r="W90" s="210">
        <f>IF(
             VLOOKUP(W$2,'TIS Site Config'!$A$3:$AQ$51,5,FALSE)="Relocatable",
                              1,0)</f>
        <v>0</v>
      </c>
      <c r="X90" s="206">
        <f>IF(
             VLOOKUP(X$2,'TIS Site Config'!$A$3:$AQ$51,5,FALSE)="Relocatable",
                              1,0)</f>
        <v>1</v>
      </c>
      <c r="Y90" s="207">
        <f>IF(
             VLOOKUP(Y$2,'TIS Site Config'!$A$3:$AQ$51,5,FALSE)="Relocatable",
                              1,0)</f>
        <v>1</v>
      </c>
      <c r="Z90" s="133">
        <f>IF(
             VLOOKUP(Z$2,'TIS Site Config'!$A$3:$AQ$51,5,FALSE)="Relocatable",
                              1,0)</f>
        <v>0</v>
      </c>
      <c r="AA90" s="206">
        <f>IF(
             VLOOKUP(AA$2,'TIS Site Config'!$A$3:$AQ$51,5,FALSE)="Relocatable",
                              1,0)</f>
        <v>1</v>
      </c>
      <c r="AB90" s="207">
        <f>IF(
             VLOOKUP(AB$2,'TIS Site Config'!$A$3:$AQ$51,5,FALSE)="Relocatable",
                              1,0)</f>
        <v>1</v>
      </c>
      <c r="AC90" s="206">
        <f>IF(
             VLOOKUP(AC$2,'TIS Site Config'!$A$3:$AQ$51,5,FALSE)="Relocatable",
                              1,0)</f>
        <v>0</v>
      </c>
      <c r="AD90" s="208">
        <f>IF(
             VLOOKUP(AD$2,'TIS Site Config'!$A$3:$AQ$51,5,FALSE)="Relocatable",
                              1,0)</f>
        <v>1</v>
      </c>
      <c r="AE90" s="208">
        <f>IF(
             VLOOKUP(AE$2,'TIS Site Config'!$A$3:$AQ$51,5,FALSE)="Relocatable",
                              1,0)</f>
        <v>1</v>
      </c>
      <c r="AF90" s="209">
        <f>IF(
             VLOOKUP(AF$2,'TIS Site Config'!$A$3:$AQ$51,5,FALSE)="Relocatable",
                              1,0)</f>
        <v>0</v>
      </c>
      <c r="AG90" s="206">
        <f>IF(
             VLOOKUP(AG$2,'TIS Site Config'!$A$3:$AQ$51,5,FALSE)="Relocatable",
                              1,0)</f>
        <v>1</v>
      </c>
      <c r="AH90" s="207">
        <f>IF(
             VLOOKUP(AH$2,'TIS Site Config'!$A$3:$AQ$51,5,FALSE)="Relocatable",
                              1,0)</f>
        <v>1</v>
      </c>
      <c r="AI90" s="133">
        <f>IF(
             VLOOKUP(AI$2,'TIS Site Config'!$A$3:$AQ$51,5,FALSE)="Relocatable",
                              1,0)</f>
        <v>0</v>
      </c>
      <c r="AJ90" s="206">
        <f>IF(
             VLOOKUP(AJ$2,'TIS Site Config'!$A$3:$AQ$51,5,FALSE)="Relocatable",
                              1,0)</f>
        <v>1</v>
      </c>
      <c r="AK90" s="207">
        <f>IF(
             VLOOKUP(AK$2,'TIS Site Config'!$A$3:$AQ$51,5,FALSE)="Relocatable",
                              1,0)</f>
        <v>1</v>
      </c>
      <c r="AL90" s="133">
        <f>IF(
             VLOOKUP(AL$2,'TIS Site Config'!$A$3:$AQ$51,5,FALSE)="Relocatable",
                              1,0)</f>
        <v>0</v>
      </c>
      <c r="AM90" s="206">
        <f>IF(
             VLOOKUP(AM$2,'TIS Site Config'!$A$3:$AQ$51,5,FALSE)="Relocatable",
                              1,0)</f>
        <v>1</v>
      </c>
      <c r="AN90" s="207">
        <f>IF(
             VLOOKUP(AN$2,'TIS Site Config'!$A$3:$AQ$51,5,FALSE)="Relocatable",
                              1,0)</f>
        <v>1</v>
      </c>
      <c r="AO90" s="133">
        <f>IF(
             VLOOKUP(AO$2,'TIS Site Config'!$A$3:$AQ$51,5,FALSE)="Relocatable",
                              1,0)</f>
        <v>0</v>
      </c>
      <c r="AP90" s="206">
        <f>IF(
             VLOOKUP(AP$2,'TIS Site Config'!$A$3:$AQ$51,5,FALSE)="Relocatable",
                              1,0)</f>
        <v>1</v>
      </c>
      <c r="AQ90" s="133">
        <f>IF(
             VLOOKUP(AQ$2,'TIS Site Config'!$A$3:$AQ$51,5,FALSE)="Relocatable",
                              1,0)</f>
        <v>0</v>
      </c>
      <c r="AR90" s="133">
        <f>IF(
             VLOOKUP(AR$2,'TIS Site Config'!$A$3:$AQ$51,5,FALSE)="Relocatable",
                              1,0)</f>
        <v>0</v>
      </c>
      <c r="AS90" s="206">
        <f>IF(
             VLOOKUP(AS$2,'TIS Site Config'!$A$3:$AQ$51,5,FALSE)="Relocatable",
                              1,0)</f>
        <v>1</v>
      </c>
      <c r="AT90" s="133">
        <f>IF(
             VLOOKUP(AT$2,'TIS Site Config'!$A$3:$AQ$51,5,FALSE)="Relocatable",
                              1,0)</f>
        <v>0</v>
      </c>
      <c r="AU90" s="206">
        <f>IF(
             VLOOKUP(AU$2,'TIS Site Config'!$A$3:$AQ$51,5,FALSE)="Relocatable",
                              1,0)</f>
        <v>1</v>
      </c>
      <c r="AV90" s="133">
        <f>IF(
             VLOOKUP(AV$2,'TIS Site Config'!$A$3:$AQ$51,5,FALSE)="Relocatable",
                              1,0)</f>
        <v>0</v>
      </c>
      <c r="AW90" s="133">
        <f>IF(
             VLOOKUP(AW$2,'TIS Site Config'!$A$3:$AQ$51,5,FALSE)="Relocatable",
                              1,0)</f>
        <v>0</v>
      </c>
      <c r="AX90" s="207">
        <f>IF(
             VLOOKUP(AX$2,'TIS Site Config'!$A$3:$AQ$51,5,FALSE)="Relocatable",
                              1,0)</f>
        <v>1</v>
      </c>
      <c r="AY90" s="133">
        <f>IF(
             VLOOKUP(AY$2,'TIS Site Config'!$A$3:$AQ$51,5,FALSE)="Relocatable",
                              1,0)</f>
        <v>0</v>
      </c>
      <c r="AZ90" s="206">
        <f>IF(
             VLOOKUP(AZ$2,'TIS Site Config'!$A$3:$AQ$51,5,FALSE)="Relocatable",
                              1,0)</f>
        <v>1</v>
      </c>
      <c r="BA90" s="208">
        <f>IF(
             VLOOKUP(BA$2,'TIS Site Config'!$A$3:$AQ$51,5,FALSE)="Relocatable",
                              1,0)</f>
        <v>1</v>
      </c>
      <c r="BB90" s="133">
        <f>IF(
             VLOOKUP(BB$2,'TIS Site Config'!$A$3:$AQ$51,5,FALSE)="Relocatable",
                              1,0)</f>
        <v>0</v>
      </c>
      <c r="BC90" s="207">
        <f>IF(
             VLOOKUP(BC$2,'TIS Site Config'!$A$3:$AQ$51,5,FALSE)="Relocatable",
                              1,0)</f>
        <v>1</v>
      </c>
      <c r="BD90" s="133">
        <f>IF(
             VLOOKUP(BD$2,'TIS Site Config'!$A$3:$AQ$51,5,FALSE)="Relocatable",
                              1,0)</f>
        <v>0</v>
      </c>
      <c r="BE90" s="206">
        <f>IF(
             VLOOKUP(BE$2,'TIS Site Config'!$A$3:$AQ$51,5,FALSE)="Relocatable",
                              1,0)</f>
        <v>1</v>
      </c>
      <c r="BF90" s="207">
        <f>IF(
             VLOOKUP(BF$2,'TIS Site Config'!$A$3:$AQ$51,5,FALSE)="Relocatable",
                              1,0)</f>
        <v>1</v>
      </c>
      <c r="BG90" s="58">
        <f>IF(
             VLOOKUP(BG$2,'TIS Site Config'!$A$3:$AQ$51,5,FALSE)="Relocatable",
                              1,0)</f>
        <v>0</v>
      </c>
      <c r="BH90" s="58">
        <f>IF(
             VLOOKUP(BH$2,'TIS Site Config'!$A$3:$AQ$51,5,FALSE)="Relocatable",
                              1,0)</f>
        <v>0</v>
      </c>
      <c r="BI90" s="3" t="s">
        <v>968</v>
      </c>
      <c r="BK90" s="3">
        <v>40</v>
      </c>
      <c r="BL90" s="950" t="b">
        <f t="shared" si="6"/>
        <v>0</v>
      </c>
      <c r="BO90" s="950"/>
    </row>
    <row r="91" spans="1:67" ht="15.75" thickTop="1" x14ac:dyDescent="0.25">
      <c r="A91" s="1366"/>
      <c r="B91" s="1332" t="s">
        <v>29</v>
      </c>
      <c r="C91" s="57" t="s">
        <v>335</v>
      </c>
      <c r="D91" s="95">
        <v>2</v>
      </c>
      <c r="E91" s="84" t="s">
        <v>296</v>
      </c>
      <c r="F91" s="60">
        <f t="shared" si="5"/>
        <v>9</v>
      </c>
      <c r="G91" s="459"/>
      <c r="H91" s="460">
        <v>1</v>
      </c>
      <c r="I91" s="460">
        <v>1</v>
      </c>
      <c r="J91" s="460"/>
      <c r="K91" s="461"/>
      <c r="L91" s="494"/>
      <c r="M91" s="134">
        <f>IF(VLOOKUP(M$2,'TIS Site Config'!$A$4:$AQ$51,3,FALSE)&lt;&gt;"Soft",
          IF(
             AND(VLOOKUP(M$2,'TIS Site Config'!$A$3:$AQ$51,30,FALSE)="Right",
                        OR(VLOOKUP(M$2,'TIS Site Config'!$A$3:$AQ$51,22,FALSE)="Split",
                                   AND(VLOOKUP(M$2,'TIS Site Config'!$A$3:$AQ$51,22,FALSE)="Combined",
                                              VLOOKUP(M$2,'TIS Site Config'!$A$3:$AQ$51,6,FALSE)="Non-heated"))),
                              1,0),0)</f>
        <v>0</v>
      </c>
      <c r="N91" s="212">
        <f>IF(VLOOKUP(N$2,'TIS Site Config'!$A$4:$AQ$51,3,FALSE)&lt;&gt;"Soft",
          IF(
             AND(VLOOKUP(N$2,'TIS Site Config'!$A$3:$AQ$51,30,FALSE)="Right",
                        OR(VLOOKUP(N$2,'TIS Site Config'!$A$3:$AQ$51,22,FALSE)="Split",
                                   AND(VLOOKUP(N$2,'TIS Site Config'!$A$3:$AQ$51,22,FALSE)="Combined",
                                              VLOOKUP(N$2,'TIS Site Config'!$A$3:$AQ$51,6,FALSE)="Non-heated"))),
                              1,0),0)</f>
        <v>0</v>
      </c>
      <c r="O91" s="215">
        <f>IF(VLOOKUP(O$2,'TIS Site Config'!$A$4:$AQ$51,3,FALSE)&lt;&gt;"Soft",
          IF(
             AND(VLOOKUP(O$2,'TIS Site Config'!$A$3:$AQ$51,30,FALSE)="Right",
                        OR(VLOOKUP(O$2,'TIS Site Config'!$A$3:$AQ$51,22,FALSE)="Split",
                                   AND(VLOOKUP(O$2,'TIS Site Config'!$A$3:$AQ$51,22,FALSE)="Combined",
                                              VLOOKUP(O$2,'TIS Site Config'!$A$3:$AQ$51,6,FALSE)="Non-heated"))),
                              1,0),0)</f>
        <v>0</v>
      </c>
      <c r="P91" s="309">
        <f>IF(VLOOKUP(P$2,'TIS Site Config'!$A$4:$AQ$51,3,FALSE)&lt;&gt;"Soft",
          IF(
             AND(VLOOKUP(P$2,'TIS Site Config'!$A$3:$AQ$51,30,FALSE)="Right",
                        OR(VLOOKUP(P$2,'TIS Site Config'!$A$3:$AQ$51,22,FALSE)="Split",
                                   AND(VLOOKUP(P$2,'TIS Site Config'!$A$3:$AQ$51,22,FALSE)="Combined",
                                              VLOOKUP(P$2,'TIS Site Config'!$A$3:$AQ$51,6,FALSE)="Non-heated"))),
                              1,0),0)</f>
        <v>0</v>
      </c>
      <c r="Q91" s="212">
        <f>IF(VLOOKUP(Q$2,'TIS Site Config'!$A$4:$AQ$51,3,FALSE)&lt;&gt;"Soft",
          IF(
             AND(VLOOKUP(Q$2,'TIS Site Config'!$A$3:$AQ$51,30,FALSE)="Right",
                        OR(VLOOKUP(Q$2,'TIS Site Config'!$A$3:$AQ$51,22,FALSE)="Split",
                                   AND(VLOOKUP(Q$2,'TIS Site Config'!$A$3:$AQ$51,22,FALSE)="Combined",
                                              VLOOKUP(Q$2,'TIS Site Config'!$A$3:$AQ$51,6,FALSE)="Non-heated"))),
                              1,0),0)</f>
        <v>0</v>
      </c>
      <c r="R91" s="134">
        <f>IF(VLOOKUP(R$2,'TIS Site Config'!$A$4:$AQ$51,3,FALSE)&lt;&gt;"Soft",
          IF(
             AND(VLOOKUP(R$2,'TIS Site Config'!$A$3:$AQ$51,30,FALSE)="Right",
                        OR(VLOOKUP(R$2,'TIS Site Config'!$A$3:$AQ$51,22,FALSE)="Split",
                                   AND(VLOOKUP(R$2,'TIS Site Config'!$A$3:$AQ$51,22,FALSE)="Combined",
                                              VLOOKUP(R$2,'TIS Site Config'!$A$3:$AQ$51,6,FALSE)="Non-heated"))),
                              1,0),0)</f>
        <v>0</v>
      </c>
      <c r="S91" s="309">
        <f>IF(VLOOKUP(S$2,'TIS Site Config'!$A$4:$AQ$51,3,FALSE)&lt;&gt;"Soft",
          IF(
             AND(VLOOKUP(S$2,'TIS Site Config'!$A$3:$AQ$51,30,FALSE)="Right",
                        OR(VLOOKUP(S$2,'TIS Site Config'!$A$3:$AQ$51,22,FALSE)="Split",
                                   AND(VLOOKUP(S$2,'TIS Site Config'!$A$3:$AQ$51,22,FALSE)="Combined",
                                              VLOOKUP(S$2,'TIS Site Config'!$A$3:$AQ$51,6,FALSE)="Non-heated"))),
                              1,0),0)</f>
        <v>1</v>
      </c>
      <c r="T91" s="212">
        <f>IF(VLOOKUP(T$2,'TIS Site Config'!$A$4:$AQ$51,3,FALSE)&lt;&gt;"Soft",
          IF(
             AND(VLOOKUP(T$2,'TIS Site Config'!$A$3:$AQ$51,30,FALSE)="Right",
                        OR(VLOOKUP(T$2,'TIS Site Config'!$A$3:$AQ$51,22,FALSE)="Split",
                                   AND(VLOOKUP(T$2,'TIS Site Config'!$A$3:$AQ$51,22,FALSE)="Combined",
                                              VLOOKUP(T$2,'TIS Site Config'!$A$3:$AQ$51,6,FALSE)="Non-heated"))),
                              1,0),0)</f>
        <v>0</v>
      </c>
      <c r="U91" s="134">
        <f>IF(VLOOKUP(U$2,'TIS Site Config'!$A$4:$AQ$51,3,FALSE)&lt;&gt;"Soft",
          IF(
             AND(VLOOKUP(U$2,'TIS Site Config'!$A$3:$AQ$51,30,FALSE)="Right",
                        OR(VLOOKUP(U$2,'TIS Site Config'!$A$3:$AQ$51,22,FALSE)="Split",
                                   AND(VLOOKUP(U$2,'TIS Site Config'!$A$3:$AQ$51,22,FALSE)="Combined",
                                              VLOOKUP(U$2,'TIS Site Config'!$A$3:$AQ$51,6,FALSE)="Non-heated"))),
                              1,0),0)</f>
        <v>1</v>
      </c>
      <c r="V91" s="212">
        <f>IF(VLOOKUP(V$2,'TIS Site Config'!$A$4:$AQ$51,3,FALSE)&lt;&gt;"Soft",
          IF(
             AND(VLOOKUP(V$2,'TIS Site Config'!$A$3:$AQ$51,30,FALSE)="Right",
                        OR(VLOOKUP(V$2,'TIS Site Config'!$A$3:$AQ$51,22,FALSE)="Split",
                                   AND(VLOOKUP(V$2,'TIS Site Config'!$A$3:$AQ$51,22,FALSE)="Combined",
                                              VLOOKUP(V$2,'TIS Site Config'!$A$3:$AQ$51,6,FALSE)="Non-heated"))),
                              1,0),0)</f>
        <v>1</v>
      </c>
      <c r="W91" s="214">
        <f>IF(VLOOKUP(W$2,'TIS Site Config'!$A$4:$AQ$51,3,FALSE)&lt;&gt;"Soft",
          IF(
             AND(VLOOKUP(W$2,'TIS Site Config'!$A$3:$AQ$51,30,FALSE)="Right",
                        OR(VLOOKUP(W$2,'TIS Site Config'!$A$3:$AQ$51,22,FALSE)="Split",
                                   AND(VLOOKUP(W$2,'TIS Site Config'!$A$3:$AQ$51,22,FALSE)="Combined",
                                              VLOOKUP(W$2,'TIS Site Config'!$A$3:$AQ$51,6,FALSE)="Non-heated"))),
                              1,0),0)</f>
        <v>0</v>
      </c>
      <c r="X91" s="309">
        <f>IF(VLOOKUP(X$2,'TIS Site Config'!$A$4:$AQ$51,3,FALSE)&lt;&gt;"Soft",
          IF(
             AND(VLOOKUP(X$2,'TIS Site Config'!$A$3:$AQ$51,30,FALSE)="Right",
                        OR(VLOOKUP(X$2,'TIS Site Config'!$A$3:$AQ$51,22,FALSE)="Split",
                                   AND(VLOOKUP(X$2,'TIS Site Config'!$A$3:$AQ$51,22,FALSE)="Combined",
                                              VLOOKUP(X$2,'TIS Site Config'!$A$3:$AQ$51,6,FALSE)="Non-heated"))),
                              1,0),0)</f>
        <v>0</v>
      </c>
      <c r="Y91" s="212">
        <f>IF(VLOOKUP(Y$2,'TIS Site Config'!$A$4:$AQ$51,3,FALSE)&lt;&gt;"Soft",
          IF(
             AND(VLOOKUP(Y$2,'TIS Site Config'!$A$3:$AQ$51,30,FALSE)="Right",
                        OR(VLOOKUP(Y$2,'TIS Site Config'!$A$3:$AQ$51,22,FALSE)="Split",
                                   AND(VLOOKUP(Y$2,'TIS Site Config'!$A$3:$AQ$51,22,FALSE)="Combined",
                                              VLOOKUP(Y$2,'TIS Site Config'!$A$3:$AQ$51,6,FALSE)="Non-heated"))),
                              1,0),0)</f>
        <v>0</v>
      </c>
      <c r="Z91" s="134">
        <f>IF(VLOOKUP(Z$2,'TIS Site Config'!$A$4:$AQ$51,3,FALSE)&lt;&gt;"Soft",
          IF(
             AND(VLOOKUP(Z$2,'TIS Site Config'!$A$3:$AQ$51,30,FALSE)="Right",
                        OR(VLOOKUP(Z$2,'TIS Site Config'!$A$3:$AQ$51,22,FALSE)="Split",
                                   AND(VLOOKUP(Z$2,'TIS Site Config'!$A$3:$AQ$51,22,FALSE)="Combined",
                                              VLOOKUP(Z$2,'TIS Site Config'!$A$3:$AQ$51,6,FALSE)="Non-heated"))),
                              1,0),0)</f>
        <v>0</v>
      </c>
      <c r="AA91" s="309">
        <f>IF(VLOOKUP(AA$2,'TIS Site Config'!$A$4:$AQ$51,3,FALSE)&lt;&gt;"Soft",
          IF(
             AND(VLOOKUP(AA$2,'TIS Site Config'!$A$3:$AQ$51,30,FALSE)="Right",
                        OR(VLOOKUP(AA$2,'TIS Site Config'!$A$3:$AQ$51,22,FALSE)="Split",
                                   AND(VLOOKUP(AA$2,'TIS Site Config'!$A$3:$AQ$51,22,FALSE)="Combined",
                                              VLOOKUP(AA$2,'TIS Site Config'!$A$3:$AQ$51,6,FALSE)="Non-heated"))),
                              1,0),0)</f>
        <v>0</v>
      </c>
      <c r="AB91" s="212">
        <f>IF(VLOOKUP(AB$2,'TIS Site Config'!$A$4:$AQ$51,3,FALSE)&lt;&gt;"Soft",
          IF(
             AND(VLOOKUP(AB$2,'TIS Site Config'!$A$3:$AQ$51,30,FALSE)="Right",
                        OR(VLOOKUP(AB$2,'TIS Site Config'!$A$3:$AQ$51,22,FALSE)="Split",
                                   AND(VLOOKUP(AB$2,'TIS Site Config'!$A$3:$AQ$51,22,FALSE)="Combined",
                                              VLOOKUP(AB$2,'TIS Site Config'!$A$3:$AQ$51,6,FALSE)="Non-heated"))),
                              1,0),0)</f>
        <v>0</v>
      </c>
      <c r="AC91" s="309">
        <f>IF(VLOOKUP(AC$2,'TIS Site Config'!$A$4:$AQ$51,3,FALSE)&lt;&gt;"Soft",
          IF(
             AND(VLOOKUP(AC$2,'TIS Site Config'!$A$3:$AQ$51,30,FALSE)="Right",
                        OR(VLOOKUP(AC$2,'TIS Site Config'!$A$3:$AQ$51,22,FALSE)="Split",
                                   AND(VLOOKUP(AC$2,'TIS Site Config'!$A$3:$AQ$51,22,FALSE)="Combined",
                                              VLOOKUP(AC$2,'TIS Site Config'!$A$3:$AQ$51,6,FALSE)="Non-heated"))),
                              1,0),0)</f>
        <v>0</v>
      </c>
      <c r="AD91" s="213">
        <f>IF(VLOOKUP(AD$2,'TIS Site Config'!$A$4:$AQ$51,3,FALSE)&lt;&gt;"Soft",
          IF(
             AND(VLOOKUP(AD$2,'TIS Site Config'!$A$3:$AQ$51,30,FALSE)="Right",
                        OR(VLOOKUP(AD$2,'TIS Site Config'!$A$3:$AQ$51,22,FALSE)="Split",
                                   AND(VLOOKUP(AD$2,'TIS Site Config'!$A$3:$AQ$51,22,FALSE)="Combined",
                                              VLOOKUP(AD$2,'TIS Site Config'!$A$3:$AQ$51,6,FALSE)="Non-heated"))),
                              1,0),0)</f>
        <v>0</v>
      </c>
      <c r="AE91" s="213">
        <f>IF(VLOOKUP(AE$2,'TIS Site Config'!$A$4:$AQ$51,3,FALSE)&lt;&gt;"Soft",
          IF(
             AND(VLOOKUP(AE$2,'TIS Site Config'!$A$3:$AQ$51,30,FALSE)="Right",
                        OR(VLOOKUP(AE$2,'TIS Site Config'!$A$3:$AQ$51,22,FALSE)="Split",
                                   AND(VLOOKUP(AE$2,'TIS Site Config'!$A$3:$AQ$51,22,FALSE)="Combined",
                                              VLOOKUP(AE$2,'TIS Site Config'!$A$3:$AQ$51,6,FALSE)="Non-heated"))),
                              1,0),0)</f>
        <v>0</v>
      </c>
      <c r="AF91" s="39">
        <f>IF(VLOOKUP(AF$2,'TIS Site Config'!$A$4:$AQ$51,3,FALSE)&lt;&gt;"Soft",
          IF(
             AND(VLOOKUP(AF$2,'TIS Site Config'!$A$3:$AQ$51,30,FALSE)="Right",
                        OR(VLOOKUP(AF$2,'TIS Site Config'!$A$3:$AQ$51,22,FALSE)="Split",
                                   AND(VLOOKUP(AF$2,'TIS Site Config'!$A$3:$AQ$51,22,FALSE)="Combined",
                                              VLOOKUP(AF$2,'TIS Site Config'!$A$3:$AQ$51,6,FALSE)="Non-heated"))),
                              1,0),0)</f>
        <v>1</v>
      </c>
      <c r="AG91" s="309">
        <f>IF(VLOOKUP(AG$2,'TIS Site Config'!$A$4:$AQ$51,3,FALSE)&lt;&gt;"Soft",
          IF(
             AND(VLOOKUP(AG$2,'TIS Site Config'!$A$3:$AQ$51,30,FALSE)="Right",
                        OR(VLOOKUP(AG$2,'TIS Site Config'!$A$3:$AQ$51,22,FALSE)="Split",
                                   AND(VLOOKUP(AG$2,'TIS Site Config'!$A$3:$AQ$51,22,FALSE)="Combined",
                                              VLOOKUP(AG$2,'TIS Site Config'!$A$3:$AQ$51,6,FALSE)="Non-heated"))),
                              1,0),0)</f>
        <v>1</v>
      </c>
      <c r="AH91" s="212">
        <f>IF(VLOOKUP(AH$2,'TIS Site Config'!$A$4:$AQ$51,3,FALSE)&lt;&gt;"Soft",
          IF(
             AND(VLOOKUP(AH$2,'TIS Site Config'!$A$3:$AQ$51,30,FALSE)="Right",
                        OR(VLOOKUP(AH$2,'TIS Site Config'!$A$3:$AQ$51,22,FALSE)="Split",
                                   AND(VLOOKUP(AH$2,'TIS Site Config'!$A$3:$AQ$51,22,FALSE)="Combined",
                                              VLOOKUP(AH$2,'TIS Site Config'!$A$3:$AQ$51,6,FALSE)="Non-heated"))),
                              1,0),0)</f>
        <v>1</v>
      </c>
      <c r="AI91" s="134">
        <f>IF(VLOOKUP(AI$2,'TIS Site Config'!$A$4:$AQ$51,3,FALSE)&lt;&gt;"Soft",
          IF(
             AND(VLOOKUP(AI$2,'TIS Site Config'!$A$3:$AQ$51,30,FALSE)="Right",
                        OR(VLOOKUP(AI$2,'TIS Site Config'!$A$3:$AQ$51,22,FALSE)="Split",
                                   AND(VLOOKUP(AI$2,'TIS Site Config'!$A$3:$AQ$51,22,FALSE)="Combined",
                                              VLOOKUP(AI$2,'TIS Site Config'!$A$3:$AQ$51,6,FALSE)="Non-heated"))),
                              1,0),0)</f>
        <v>0</v>
      </c>
      <c r="AJ91" s="309">
        <f>IF(VLOOKUP(AJ$2,'TIS Site Config'!$A$4:$AQ$51,3,FALSE)&lt;&gt;"Soft",
          IF(
             AND(VLOOKUP(AJ$2,'TIS Site Config'!$A$3:$AQ$51,30,FALSE)="Right",
                        OR(VLOOKUP(AJ$2,'TIS Site Config'!$A$3:$AQ$51,22,FALSE)="Split",
                                   AND(VLOOKUP(AJ$2,'TIS Site Config'!$A$3:$AQ$51,22,FALSE)="Combined",
                                              VLOOKUP(AJ$2,'TIS Site Config'!$A$3:$AQ$51,6,FALSE)="Non-heated"))),
                              1,0),0)</f>
        <v>0</v>
      </c>
      <c r="AK91" s="212">
        <f>IF(VLOOKUP(AK$2,'TIS Site Config'!$A$4:$AQ$51,3,FALSE)&lt;&gt;"Soft",
          IF(
             AND(VLOOKUP(AK$2,'TIS Site Config'!$A$3:$AQ$51,30,FALSE)="Right",
                        OR(VLOOKUP(AK$2,'TIS Site Config'!$A$3:$AQ$51,22,FALSE)="Split",
                                   AND(VLOOKUP(AK$2,'TIS Site Config'!$A$3:$AQ$51,22,FALSE)="Combined",
                                              VLOOKUP(AK$2,'TIS Site Config'!$A$3:$AQ$51,6,FALSE)="Non-heated"))),
                              1,0),0)</f>
        <v>0</v>
      </c>
      <c r="AL91" s="1012">
        <f>IF(VLOOKUP(AL$2,'TIS Site Config'!$A$4:$AQ$51,3,FALSE)&lt;&gt;"Soft",
          IF(
             AND(VLOOKUP(AL$2,'TIS Site Config'!$A$3:$AQ$51,30,FALSE)="Right",
                        OR(VLOOKUP(AL$2,'TIS Site Config'!$A$3:$AQ$51,22,FALSE)="Split",
                                   AND(VLOOKUP(AL$2,'TIS Site Config'!$A$3:$AQ$51,22,FALSE)="Combined",
                                              VLOOKUP(AL$2,'TIS Site Config'!$A$3:$AQ$51,6,FALSE)="Non-heated"))),
                              1,0),0)</f>
        <v>0</v>
      </c>
      <c r="AM91" s="309">
        <f>IF(VLOOKUP(AM$2,'TIS Site Config'!$A$4:$AQ$51,3,FALSE)&lt;&gt;"Soft",
          IF(
             AND(VLOOKUP(AM$2,'TIS Site Config'!$A$3:$AQ$51,30,FALSE)="Right",
                        OR(VLOOKUP(AM$2,'TIS Site Config'!$A$3:$AQ$51,22,FALSE)="Split",
                                   AND(VLOOKUP(AM$2,'TIS Site Config'!$A$3:$AQ$51,22,FALSE)="Combined",
                                              VLOOKUP(AM$2,'TIS Site Config'!$A$3:$AQ$51,6,FALSE)="Non-heated"))),
                              1,0),0)</f>
        <v>0</v>
      </c>
      <c r="AN91" s="212">
        <f>IF(VLOOKUP(AN$2,'TIS Site Config'!$A$4:$AQ$51,3,FALSE)&lt;&gt;"Soft",
          IF(
             AND(VLOOKUP(AN$2,'TIS Site Config'!$A$3:$AQ$51,30,FALSE)="Right",
                        OR(VLOOKUP(AN$2,'TIS Site Config'!$A$3:$AQ$51,22,FALSE)="Split",
                                   AND(VLOOKUP(AN$2,'TIS Site Config'!$A$3:$AQ$51,22,FALSE)="Combined",
                                              VLOOKUP(AN$2,'TIS Site Config'!$A$3:$AQ$51,6,FALSE)="Non-heated"))),
                              1,0),0)</f>
        <v>0</v>
      </c>
      <c r="AO91" s="134">
        <f>IF(VLOOKUP(AO$2,'TIS Site Config'!$A$4:$AQ$51,3,FALSE)&lt;&gt;"Soft",
          IF(
             AND(VLOOKUP(AO$2,'TIS Site Config'!$A$3:$AQ$51,30,FALSE)="Right",
                        OR(VLOOKUP(AO$2,'TIS Site Config'!$A$3:$AQ$51,22,FALSE)="Split",
                                   AND(VLOOKUP(AO$2,'TIS Site Config'!$A$3:$AQ$51,22,FALSE)="Combined",
                                              VLOOKUP(AO$2,'TIS Site Config'!$A$3:$AQ$51,6,FALSE)="Non-heated"))),
                              1,0),0)</f>
        <v>0</v>
      </c>
      <c r="AP91" s="309">
        <f>IF(VLOOKUP(AP$2,'TIS Site Config'!$A$4:$AQ$51,3,FALSE)&lt;&gt;"Soft",
          IF(
             AND(VLOOKUP(AP$2,'TIS Site Config'!$A$3:$AQ$51,30,FALSE)="Right",
                        OR(VLOOKUP(AP$2,'TIS Site Config'!$A$3:$AQ$51,22,FALSE)="Split",
                                   AND(VLOOKUP(AP$2,'TIS Site Config'!$A$3:$AQ$51,22,FALSE)="Combined",
                                              VLOOKUP(AP$2,'TIS Site Config'!$A$3:$AQ$51,6,FALSE)="Non-heated"))),
                              1,0),0)</f>
        <v>0</v>
      </c>
      <c r="AQ91" s="134">
        <f>IF(VLOOKUP(AQ$2,'TIS Site Config'!$A$4:$AQ$51,3,FALSE)&lt;&gt;"Soft",
          IF(
             AND(VLOOKUP(AQ$2,'TIS Site Config'!$A$3:$AQ$51,30,FALSE)="Right",
                        OR(VLOOKUP(AQ$2,'TIS Site Config'!$A$3:$AQ$51,22,FALSE)="Split",
                                   AND(VLOOKUP(AQ$2,'TIS Site Config'!$A$3:$AQ$51,22,FALSE)="Combined",
                                              VLOOKUP(AQ$2,'TIS Site Config'!$A$3:$AQ$51,6,FALSE)="Non-heated"))),
                              1,0),0)</f>
        <v>0</v>
      </c>
      <c r="AR91" s="134">
        <f>IF(VLOOKUP(AR$2,'TIS Site Config'!$A$4:$AQ$51,3,FALSE)&lt;&gt;"Soft",
          IF(
             AND(VLOOKUP(AR$2,'TIS Site Config'!$A$3:$AQ$51,30,FALSE)="Right",
                        OR(VLOOKUP(AR$2,'TIS Site Config'!$A$3:$AQ$51,22,FALSE)="Split",
                                   AND(VLOOKUP(AR$2,'TIS Site Config'!$A$3:$AQ$51,22,FALSE)="Combined",
                                              VLOOKUP(AR$2,'TIS Site Config'!$A$3:$AQ$51,6,FALSE)="Non-heated"))),
                              1,0),0)</f>
        <v>0</v>
      </c>
      <c r="AS91" s="309">
        <f>IF(VLOOKUP(AS$2,'TIS Site Config'!$A$4:$AQ$51,3,FALSE)&lt;&gt;"Soft",
          IF(
             AND(VLOOKUP(AS$2,'TIS Site Config'!$A$3:$AQ$51,30,FALSE)="Right",
                        OR(VLOOKUP(AS$2,'TIS Site Config'!$A$3:$AQ$51,22,FALSE)="Split",
                                   AND(VLOOKUP(AS$2,'TIS Site Config'!$A$3:$AQ$51,22,FALSE)="Combined",
                                              VLOOKUP(AS$2,'TIS Site Config'!$A$3:$AQ$51,6,FALSE)="Non-heated"))),
                              1,0),0)</f>
        <v>0</v>
      </c>
      <c r="AT91" s="134">
        <f>IF(VLOOKUP(AT$2,'TIS Site Config'!$A$4:$AQ$51,3,FALSE)&lt;&gt;"Soft",
          IF(
             AND(VLOOKUP(AT$2,'TIS Site Config'!$A$3:$AQ$51,30,FALSE)="Right",
                        OR(VLOOKUP(AT$2,'TIS Site Config'!$A$3:$AQ$51,22,FALSE)="Split",
                                   AND(VLOOKUP(AT$2,'TIS Site Config'!$A$3:$AQ$51,22,FALSE)="Combined",
                                              VLOOKUP(AT$2,'TIS Site Config'!$A$3:$AQ$51,6,FALSE)="Non-heated"))),
                              1,0),0)</f>
        <v>1</v>
      </c>
      <c r="AU91" s="309">
        <f>IF(VLOOKUP(AU$2,'TIS Site Config'!$A$4:$AQ$51,3,FALSE)&lt;&gt;"Soft",
          IF(
             AND(VLOOKUP(AU$2,'TIS Site Config'!$A$3:$AQ$51,30,FALSE)="Right",
                        OR(VLOOKUP(AU$2,'TIS Site Config'!$A$3:$AQ$51,22,FALSE)="Split",
                                   AND(VLOOKUP(AU$2,'TIS Site Config'!$A$3:$AQ$51,22,FALSE)="Combined",
                                              VLOOKUP(AU$2,'TIS Site Config'!$A$3:$AQ$51,6,FALSE)="Non-heated"))),
                              1,0),0)</f>
        <v>1</v>
      </c>
      <c r="AV91" s="134">
        <f>IF(VLOOKUP(AV$2,'TIS Site Config'!$A$4:$AQ$51,3,FALSE)&lt;&gt;"Soft",
          IF(
             AND(VLOOKUP(AV$2,'TIS Site Config'!$A$3:$AQ$51,30,FALSE)="Right",
                        OR(VLOOKUP(AV$2,'TIS Site Config'!$A$3:$AQ$51,22,FALSE)="Split",
                                   AND(VLOOKUP(AV$2,'TIS Site Config'!$A$3:$AQ$51,22,FALSE)="Combined",
                                              VLOOKUP(AV$2,'TIS Site Config'!$A$3:$AQ$51,6,FALSE)="Non-heated"))),
                              1,0),0)</f>
        <v>0</v>
      </c>
      <c r="AW91" s="134">
        <f>IF(VLOOKUP(AW$2,'TIS Site Config'!$A$4:$AQ$51,3,FALSE)&lt;&gt;"Soft",
          IF(
             AND(VLOOKUP(AW$2,'TIS Site Config'!$A$3:$AQ$51,30,FALSE)="Right",
                        OR(VLOOKUP(AW$2,'TIS Site Config'!$A$3:$AQ$51,22,FALSE)="Split",
                                   AND(VLOOKUP(AW$2,'TIS Site Config'!$A$3:$AQ$51,22,FALSE)="Combined",
                                              VLOOKUP(AW$2,'TIS Site Config'!$A$3:$AQ$51,6,FALSE)="Non-heated"))),
                              1,0),0)</f>
        <v>0</v>
      </c>
      <c r="AX91" s="212">
        <f>IF(VLOOKUP(AX$2,'TIS Site Config'!$A$4:$AQ$51,3,FALSE)&lt;&gt;"Soft",
          IF(
             AND(VLOOKUP(AX$2,'TIS Site Config'!$A$3:$AQ$51,30,FALSE)="Right",
                        OR(VLOOKUP(AX$2,'TIS Site Config'!$A$3:$AQ$51,22,FALSE)="Split",
                                   AND(VLOOKUP(AX$2,'TIS Site Config'!$A$3:$AQ$51,22,FALSE)="Combined",
                                              VLOOKUP(AX$2,'TIS Site Config'!$A$3:$AQ$51,6,FALSE)="Non-heated"))),
                              1,0),0)</f>
        <v>0</v>
      </c>
      <c r="AY91" s="134">
        <f>IF(VLOOKUP(AY$2,'TIS Site Config'!$A$4:$AQ$51,3,FALSE)&lt;&gt;"Soft",
          IF(
             AND(VLOOKUP(AY$2,'TIS Site Config'!$A$3:$AQ$51,30,FALSE)="Right",
                        OR(VLOOKUP(AY$2,'TIS Site Config'!$A$3:$AQ$51,22,FALSE)="Split",
                                   AND(VLOOKUP(AY$2,'TIS Site Config'!$A$3:$AQ$51,22,FALSE)="Combined",
                                              VLOOKUP(AY$2,'TIS Site Config'!$A$3:$AQ$51,6,FALSE)="Non-heated"))),
                              1,0),0)</f>
        <v>0</v>
      </c>
      <c r="AZ91" s="309">
        <f>IF(VLOOKUP(AZ$2,'TIS Site Config'!$A$4:$AQ$51,3,FALSE)&lt;&gt;"Soft",
          IF(
             AND(VLOOKUP(AZ$2,'TIS Site Config'!$A$3:$AQ$51,30,FALSE)="Right",
                        OR(VLOOKUP(AZ$2,'TIS Site Config'!$A$3:$AQ$51,22,FALSE)="Split",
                                   AND(VLOOKUP(AZ$2,'TIS Site Config'!$A$3:$AQ$51,22,FALSE)="Combined",
                                              VLOOKUP(AZ$2,'TIS Site Config'!$A$3:$AQ$51,6,FALSE)="Non-heated"))),
                              1,0),0)</f>
        <v>0</v>
      </c>
      <c r="BA91" s="213">
        <f>IF(VLOOKUP(BA$2,'TIS Site Config'!$A$4:$AQ$51,3,FALSE)&lt;&gt;"Soft",
          IF(
             AND(VLOOKUP(BA$2,'TIS Site Config'!$A$3:$AQ$51,30,FALSE)="Right",
                        OR(VLOOKUP(BA$2,'TIS Site Config'!$A$3:$AQ$51,22,FALSE)="Split",
                                   AND(VLOOKUP(BA$2,'TIS Site Config'!$A$3:$AQ$51,22,FALSE)="Combined",
                                              VLOOKUP(BA$2,'TIS Site Config'!$A$3:$AQ$51,6,FALSE)="Non-heated"))),
                              1,0),0)</f>
        <v>0</v>
      </c>
      <c r="BB91" s="134">
        <f>IF(VLOOKUP(BB$2,'TIS Site Config'!$A$4:$AQ$51,3,FALSE)&lt;&gt;"Soft",
          IF(
             AND(VLOOKUP(BB$2,'TIS Site Config'!$A$3:$AQ$51,30,FALSE)="Right",
                        OR(VLOOKUP(BB$2,'TIS Site Config'!$A$3:$AQ$51,22,FALSE)="Split",
                                   AND(VLOOKUP(BB$2,'TIS Site Config'!$A$3:$AQ$51,22,FALSE)="Combined",
                                              VLOOKUP(BB$2,'TIS Site Config'!$A$3:$AQ$51,6,FALSE)="Non-heated"))),
                              1,0),0)</f>
        <v>0</v>
      </c>
      <c r="BC91" s="212">
        <f>IF(VLOOKUP(BC$2,'TIS Site Config'!$A$4:$AQ$51,3,FALSE)&lt;&gt;"Soft",
          IF(
             AND(VLOOKUP(BC$2,'TIS Site Config'!$A$3:$AQ$51,30,FALSE)="Right",
                        OR(VLOOKUP(BC$2,'TIS Site Config'!$A$3:$AQ$51,22,FALSE)="Split",
                                   AND(VLOOKUP(BC$2,'TIS Site Config'!$A$3:$AQ$51,22,FALSE)="Combined",
                                              VLOOKUP(BC$2,'TIS Site Config'!$A$3:$AQ$51,6,FALSE)="Non-heated"))),
                              1,0),0)</f>
        <v>0</v>
      </c>
      <c r="BD91" s="134">
        <f>IF(VLOOKUP(BD$2,'TIS Site Config'!$A$4:$AQ$51,3,FALSE)&lt;&gt;"Soft",
          IF(
             AND(VLOOKUP(BD$2,'TIS Site Config'!$A$3:$AQ$51,30,FALSE)="Right",
                        OR(VLOOKUP(BD$2,'TIS Site Config'!$A$3:$AQ$51,22,FALSE)="Split",
                                   AND(VLOOKUP(BD$2,'TIS Site Config'!$A$3:$AQ$51,22,FALSE)="Combined",
                                              VLOOKUP(BD$2,'TIS Site Config'!$A$3:$AQ$51,6,FALSE)="Non-heated"))),
                              1,0),0)</f>
        <v>0</v>
      </c>
      <c r="BE91" s="309">
        <f>IF(VLOOKUP(BE$2,'TIS Site Config'!$A$4:$AQ$51,3,FALSE)&lt;&gt;"Soft",
          IF(
             AND(VLOOKUP(BE$2,'TIS Site Config'!$A$3:$AQ$51,30,FALSE)="Right",
                        OR(VLOOKUP(BE$2,'TIS Site Config'!$A$3:$AQ$51,22,FALSE)="Split",
                                   AND(VLOOKUP(BE$2,'TIS Site Config'!$A$3:$AQ$51,22,FALSE)="Combined",
                                              VLOOKUP(BE$2,'TIS Site Config'!$A$3:$AQ$51,6,FALSE)="Non-heated"))),
                              1,0),0)</f>
        <v>0</v>
      </c>
      <c r="BF91" s="212">
        <f>IF(VLOOKUP(BF$2,'TIS Site Config'!$A$4:$AQ$51,3,FALSE)&lt;&gt;"Soft",
          IF(
             AND(VLOOKUP(BF$2,'TIS Site Config'!$A$3:$AQ$51,30,FALSE)="Right",
                        OR(VLOOKUP(BF$2,'TIS Site Config'!$A$3:$AQ$51,22,FALSE)="Split",
                                   AND(VLOOKUP(BF$2,'TIS Site Config'!$A$3:$AQ$51,22,FALSE)="Combined",
                                              VLOOKUP(BF$2,'TIS Site Config'!$A$3:$AQ$51,6,FALSE)="Non-heated"))),
                              1,0),0)</f>
        <v>0</v>
      </c>
      <c r="BG91" s="60">
        <f>IF(VLOOKUP(BG$2,'TIS Site Config'!$A$4:$AQ$51,3,FALSE)&lt;&gt;"Soft",
          IF(
             AND(VLOOKUP(BG$2,'TIS Site Config'!$A$3:$AQ$51,30,FALSE)="Right",
                        OR(VLOOKUP(BG$2,'TIS Site Config'!$A$3:$AQ$51,22,FALSE)="Split",
                                   AND(VLOOKUP(BG$2,'TIS Site Config'!$A$3:$AQ$51,22,FALSE)="Combined",
                                              VLOOKUP(BG$2,'TIS Site Config'!$A$3:$AQ$51,6,FALSE)="Non-heated"))),
                              1,0),0)</f>
        <v>1</v>
      </c>
      <c r="BH91" s="60">
        <f>IF(VLOOKUP(BH$2,'TIS Site Config'!$A$4:$AQ$51,3,FALSE)&lt;&gt;"Soft",
          IF(
             AND(VLOOKUP(BH$2,'TIS Site Config'!$A$3:$AQ$51,30,FALSE)="Right",
                        OR(VLOOKUP(BH$2,'TIS Site Config'!$A$3:$AQ$51,22,FALSE)="Split",
                                   AND(VLOOKUP(BH$2,'TIS Site Config'!$A$3:$AQ$51,22,FALSE)="Combined",
                                              VLOOKUP(BH$2,'TIS Site Config'!$A$3:$AQ$51,6,FALSE)="Non-heated"))),
                              1,0),0)</f>
        <v>1</v>
      </c>
      <c r="BK91" s="3">
        <v>27</v>
      </c>
      <c r="BL91" s="950" t="b">
        <f t="shared" si="6"/>
        <v>0</v>
      </c>
      <c r="BO91" s="950"/>
    </row>
    <row r="92" spans="1:67" x14ac:dyDescent="0.25">
      <c r="A92" s="1366"/>
      <c r="B92" s="1333"/>
      <c r="C92" s="69" t="s">
        <v>336</v>
      </c>
      <c r="D92" s="90">
        <v>2</v>
      </c>
      <c r="E92" s="85" t="s">
        <v>317</v>
      </c>
      <c r="F92" s="62">
        <f t="shared" si="5"/>
        <v>28</v>
      </c>
      <c r="G92" s="450"/>
      <c r="H92" s="451">
        <v>1</v>
      </c>
      <c r="I92" s="451">
        <v>1</v>
      </c>
      <c r="J92" s="451"/>
      <c r="K92" s="452"/>
      <c r="L92" s="491"/>
      <c r="M92" s="136">
        <f>IF(VLOOKUP(M$2,'TIS Site Config'!$A$4:$AQ$51,3,FALSE)&lt;&gt;"Soft",
          IF(
             AND(VLOOKUP(M$2,'TIS Site Config'!$A$3:$AQ$51,30,FALSE)="Right",
                        VLOOKUP(M$2,'TIS Site Config'!$A$3:$AQ$51,22,FALSE)="Combined",
                        OR(VLOOKUP(M$2,'TIS Site Config'!$A$3:$AQ$51,6,FALSE)="Heated",
                                VLOOKUP(M$2,'TIS Site Config'!$A$3:$AQ$51,6,FALSE)="Extreme Heated")),
                              1,0),0)</f>
        <v>1</v>
      </c>
      <c r="N92" s="222">
        <f>IF(VLOOKUP(N$2,'TIS Site Config'!$A$4:$AQ$51,3,FALSE)&lt;&gt;"Soft",
          IF(
             AND(VLOOKUP(N$2,'TIS Site Config'!$A$3:$AQ$51,30,FALSE)="Right",
                        VLOOKUP(N$2,'TIS Site Config'!$A$3:$AQ$51,22,FALSE)="Combined",
                        OR(VLOOKUP(N$2,'TIS Site Config'!$A$3:$AQ$51,6,FALSE)="Heated",
                                VLOOKUP(N$2,'TIS Site Config'!$A$3:$AQ$51,6,FALSE)="Extreme Heated")),
                              1,0),0)</f>
        <v>1</v>
      </c>
      <c r="O92" s="225">
        <f>IF(VLOOKUP(O$2,'TIS Site Config'!$A$4:$AQ$51,3,FALSE)&lt;&gt;"Soft",
          IF(
             AND(VLOOKUP(O$2,'TIS Site Config'!$A$3:$AQ$51,30,FALSE)="Right",
                        VLOOKUP(O$2,'TIS Site Config'!$A$3:$AQ$51,22,FALSE)="Combined",
                        OR(VLOOKUP(O$2,'TIS Site Config'!$A$3:$AQ$51,6,FALSE)="Heated",
                                VLOOKUP(O$2,'TIS Site Config'!$A$3:$AQ$51,6,FALSE)="Extreme Heated")),
                              1,0),0)</f>
        <v>1</v>
      </c>
      <c r="P92" s="21">
        <f>IF(VLOOKUP(P$2,'TIS Site Config'!$A$4:$AQ$51,3,FALSE)&lt;&gt;"Soft",
          IF(
             AND(VLOOKUP(P$2,'TIS Site Config'!$A$3:$AQ$51,30,FALSE)="Right",
                        VLOOKUP(P$2,'TIS Site Config'!$A$3:$AQ$51,22,FALSE)="Combined",
                        OR(VLOOKUP(P$2,'TIS Site Config'!$A$3:$AQ$51,6,FALSE)="Heated",
                                VLOOKUP(P$2,'TIS Site Config'!$A$3:$AQ$51,6,FALSE)="Extreme Heated")),
                              1,0),0)</f>
        <v>1</v>
      </c>
      <c r="Q92" s="222">
        <f>IF(VLOOKUP(Q$2,'TIS Site Config'!$A$4:$AQ$51,3,FALSE)&lt;&gt;"Soft",
          IF(
             AND(VLOOKUP(Q$2,'TIS Site Config'!$A$3:$AQ$51,30,FALSE)="Right",
                        VLOOKUP(Q$2,'TIS Site Config'!$A$3:$AQ$51,22,FALSE)="Combined",
                        OR(VLOOKUP(Q$2,'TIS Site Config'!$A$3:$AQ$51,6,FALSE)="Heated",
                                VLOOKUP(Q$2,'TIS Site Config'!$A$3:$AQ$51,6,FALSE)="Extreme Heated")),
                              1,0),0)</f>
        <v>1</v>
      </c>
      <c r="R92" s="136">
        <f>IF(VLOOKUP(R$2,'TIS Site Config'!$A$4:$AQ$51,3,FALSE)&lt;&gt;"Soft",
          IF(
             AND(VLOOKUP(R$2,'TIS Site Config'!$A$3:$AQ$51,30,FALSE)="Right",
                        VLOOKUP(R$2,'TIS Site Config'!$A$3:$AQ$51,22,FALSE)="Combined",
                        OR(VLOOKUP(R$2,'TIS Site Config'!$A$3:$AQ$51,6,FALSE)="Heated",
                                VLOOKUP(R$2,'TIS Site Config'!$A$3:$AQ$51,6,FALSE)="Extreme Heated")),
                              1,0),0)</f>
        <v>0</v>
      </c>
      <c r="S92" s="21">
        <f>IF(VLOOKUP(S$2,'TIS Site Config'!$A$4:$AQ$51,3,FALSE)&lt;&gt;"Soft",
          IF(
             AND(VLOOKUP(S$2,'TIS Site Config'!$A$3:$AQ$51,30,FALSE)="Right",
                        VLOOKUP(S$2,'TIS Site Config'!$A$3:$AQ$51,22,FALSE)="Combined",
                        OR(VLOOKUP(S$2,'TIS Site Config'!$A$3:$AQ$51,6,FALSE)="Heated",
                                VLOOKUP(S$2,'TIS Site Config'!$A$3:$AQ$51,6,FALSE)="Extreme Heated")),
                              1,0),0)</f>
        <v>0</v>
      </c>
      <c r="T92" s="222">
        <f>IF(VLOOKUP(T$2,'TIS Site Config'!$A$4:$AQ$51,3,FALSE)&lt;&gt;"Soft",
          IF(
             AND(VLOOKUP(T$2,'TIS Site Config'!$A$3:$AQ$51,30,FALSE)="Right",
                        VLOOKUP(T$2,'TIS Site Config'!$A$3:$AQ$51,22,FALSE)="Combined",
                        OR(VLOOKUP(T$2,'TIS Site Config'!$A$3:$AQ$51,6,FALSE)="Heated",
                                VLOOKUP(T$2,'TIS Site Config'!$A$3:$AQ$51,6,FALSE)="Extreme Heated")),
                              1,0),0)</f>
        <v>0</v>
      </c>
      <c r="U92" s="136">
        <f>IF(VLOOKUP(U$2,'TIS Site Config'!$A$4:$AQ$51,3,FALSE)&lt;&gt;"Soft",
          IF(
             AND(VLOOKUP(U$2,'TIS Site Config'!$A$3:$AQ$51,30,FALSE)="Right",
                        VLOOKUP(U$2,'TIS Site Config'!$A$3:$AQ$51,22,FALSE)="Combined",
                        OR(VLOOKUP(U$2,'TIS Site Config'!$A$3:$AQ$51,6,FALSE)="Heated",
                                VLOOKUP(U$2,'TIS Site Config'!$A$3:$AQ$51,6,FALSE)="Extreme Heated")),
                              1,0),0)</f>
        <v>0</v>
      </c>
      <c r="V92" s="222">
        <f>IF(VLOOKUP(V$2,'TIS Site Config'!$A$4:$AQ$51,3,FALSE)&lt;&gt;"Soft",
          IF(
             AND(VLOOKUP(V$2,'TIS Site Config'!$A$3:$AQ$51,30,FALSE)="Right",
                        VLOOKUP(V$2,'TIS Site Config'!$A$3:$AQ$51,22,FALSE)="Combined",
                        OR(VLOOKUP(V$2,'TIS Site Config'!$A$3:$AQ$51,6,FALSE)="Heated",
                                VLOOKUP(V$2,'TIS Site Config'!$A$3:$AQ$51,6,FALSE)="Extreme Heated")),
                              1,0),0)</f>
        <v>0</v>
      </c>
      <c r="W92" s="224">
        <f>IF(VLOOKUP(W$2,'TIS Site Config'!$A$4:$AQ$51,3,FALSE)&lt;&gt;"Soft",
          IF(
             AND(VLOOKUP(W$2,'TIS Site Config'!$A$3:$AQ$51,30,FALSE)="Right",
                        VLOOKUP(W$2,'TIS Site Config'!$A$3:$AQ$51,22,FALSE)="Combined",
                        OR(VLOOKUP(W$2,'TIS Site Config'!$A$3:$AQ$51,6,FALSE)="Heated",
                                VLOOKUP(W$2,'TIS Site Config'!$A$3:$AQ$51,6,FALSE)="Extreme Heated")),
                              1,0),0)</f>
        <v>0</v>
      </c>
      <c r="X92" s="21">
        <f>IF(VLOOKUP(X$2,'TIS Site Config'!$A$4:$AQ$51,3,FALSE)&lt;&gt;"Soft",
          IF(
             AND(VLOOKUP(X$2,'TIS Site Config'!$A$3:$AQ$51,30,FALSE)="Right",
                        VLOOKUP(X$2,'TIS Site Config'!$A$3:$AQ$51,22,FALSE)="Combined",
                        OR(VLOOKUP(X$2,'TIS Site Config'!$A$3:$AQ$51,6,FALSE)="Heated",
                                VLOOKUP(X$2,'TIS Site Config'!$A$3:$AQ$51,6,FALSE)="Extreme Heated")),
                              1,0),0)</f>
        <v>1</v>
      </c>
      <c r="Y92" s="222">
        <f>IF(VLOOKUP(Y$2,'TIS Site Config'!$A$4:$AQ$51,3,FALSE)&lt;&gt;"Soft",
          IF(
             AND(VLOOKUP(Y$2,'TIS Site Config'!$A$3:$AQ$51,30,FALSE)="Right",
                        VLOOKUP(Y$2,'TIS Site Config'!$A$3:$AQ$51,22,FALSE)="Combined",
                        OR(VLOOKUP(Y$2,'TIS Site Config'!$A$3:$AQ$51,6,FALSE)="Heated",
                                VLOOKUP(Y$2,'TIS Site Config'!$A$3:$AQ$51,6,FALSE)="Extreme Heated")),
                              1,0),0)</f>
        <v>1</v>
      </c>
      <c r="Z92" s="136">
        <f>IF(VLOOKUP(Z$2,'TIS Site Config'!$A$4:$AQ$51,3,FALSE)&lt;&gt;"Soft",
          IF(
             AND(VLOOKUP(Z$2,'TIS Site Config'!$A$3:$AQ$51,30,FALSE)="Right",
                        VLOOKUP(Z$2,'TIS Site Config'!$A$3:$AQ$51,22,FALSE)="Combined",
                        OR(VLOOKUP(Z$2,'TIS Site Config'!$A$3:$AQ$51,6,FALSE)="Heated",
                                VLOOKUP(Z$2,'TIS Site Config'!$A$3:$AQ$51,6,FALSE)="Extreme Heated")),
                              1,0),0)</f>
        <v>1</v>
      </c>
      <c r="AA92" s="21">
        <f>IF(VLOOKUP(AA$2,'TIS Site Config'!$A$4:$AQ$51,3,FALSE)&lt;&gt;"Soft",
          IF(
             AND(VLOOKUP(AA$2,'TIS Site Config'!$A$3:$AQ$51,30,FALSE)="Right",
                        VLOOKUP(AA$2,'TIS Site Config'!$A$3:$AQ$51,22,FALSE)="Combined",
                        OR(VLOOKUP(AA$2,'TIS Site Config'!$A$3:$AQ$51,6,FALSE)="Heated",
                                VLOOKUP(AA$2,'TIS Site Config'!$A$3:$AQ$51,6,FALSE)="Extreme Heated")),
                              1,0),0)</f>
        <v>1</v>
      </c>
      <c r="AB92" s="222">
        <f>IF(VLOOKUP(AB$2,'TIS Site Config'!$A$4:$AQ$51,3,FALSE)&lt;&gt;"Soft",
          IF(
             AND(VLOOKUP(AB$2,'TIS Site Config'!$A$3:$AQ$51,30,FALSE)="Right",
                        VLOOKUP(AB$2,'TIS Site Config'!$A$3:$AQ$51,22,FALSE)="Combined",
                        OR(VLOOKUP(AB$2,'TIS Site Config'!$A$3:$AQ$51,6,FALSE)="Heated",
                                VLOOKUP(AB$2,'TIS Site Config'!$A$3:$AQ$51,6,FALSE)="Extreme Heated")),
                              1,0),0)</f>
        <v>1</v>
      </c>
      <c r="AC92" s="21">
        <f>IF(VLOOKUP(AC$2,'TIS Site Config'!$A$4:$AQ$51,3,FALSE)&lt;&gt;"Soft",
          IF(
             AND(VLOOKUP(AC$2,'TIS Site Config'!$A$3:$AQ$51,30,FALSE)="Right",
                        VLOOKUP(AC$2,'TIS Site Config'!$A$3:$AQ$51,22,FALSE)="Combined",
                        OR(VLOOKUP(AC$2,'TIS Site Config'!$A$3:$AQ$51,6,FALSE)="Heated",
                                VLOOKUP(AC$2,'TIS Site Config'!$A$3:$AQ$51,6,FALSE)="Extreme Heated")),
                              1,0),0)</f>
        <v>1</v>
      </c>
      <c r="AD92" s="223">
        <f>IF(VLOOKUP(AD$2,'TIS Site Config'!$A$4:$AQ$51,3,FALSE)&lt;&gt;"Soft",
          IF(
             AND(VLOOKUP(AD$2,'TIS Site Config'!$A$3:$AQ$51,30,FALSE)="Right",
                        VLOOKUP(AD$2,'TIS Site Config'!$A$3:$AQ$51,22,FALSE)="Combined",
                        OR(VLOOKUP(AD$2,'TIS Site Config'!$A$3:$AQ$51,6,FALSE)="Heated",
                                VLOOKUP(AD$2,'TIS Site Config'!$A$3:$AQ$51,6,FALSE)="Extreme Heated")),
                              1,0),0)</f>
        <v>0</v>
      </c>
      <c r="AE92" s="223">
        <f>IF(VLOOKUP(AE$2,'TIS Site Config'!$A$4:$AQ$51,3,FALSE)&lt;&gt;"Soft",
          IF(
             AND(VLOOKUP(AE$2,'TIS Site Config'!$A$3:$AQ$51,30,FALSE)="Right",
                        VLOOKUP(AE$2,'TIS Site Config'!$A$3:$AQ$51,22,FALSE)="Combined",
                        OR(VLOOKUP(AE$2,'TIS Site Config'!$A$3:$AQ$51,6,FALSE)="Heated",
                                VLOOKUP(AE$2,'TIS Site Config'!$A$3:$AQ$51,6,FALSE)="Extreme Heated")),
                              1,0),0)</f>
        <v>0</v>
      </c>
      <c r="AF92" s="16">
        <f>IF(VLOOKUP(AF$2,'TIS Site Config'!$A$4:$AQ$51,3,FALSE)&lt;&gt;"Soft",
          IF(
             AND(VLOOKUP(AF$2,'TIS Site Config'!$A$3:$AQ$51,30,FALSE)="Right",
                        VLOOKUP(AF$2,'TIS Site Config'!$A$3:$AQ$51,22,FALSE)="Combined",
                        OR(VLOOKUP(AF$2,'TIS Site Config'!$A$3:$AQ$51,6,FALSE)="Heated",
                                VLOOKUP(AF$2,'TIS Site Config'!$A$3:$AQ$51,6,FALSE)="Extreme Heated")),
                              1,0),0)</f>
        <v>0</v>
      </c>
      <c r="AG92" s="21">
        <f>IF(VLOOKUP(AG$2,'TIS Site Config'!$A$4:$AQ$51,3,FALSE)&lt;&gt;"Soft",
          IF(
             AND(VLOOKUP(AG$2,'TIS Site Config'!$A$3:$AQ$51,30,FALSE)="Right",
                        VLOOKUP(AG$2,'TIS Site Config'!$A$3:$AQ$51,22,FALSE)="Combined",
                        OR(VLOOKUP(AG$2,'TIS Site Config'!$A$3:$AQ$51,6,FALSE)="Heated",
                                VLOOKUP(AG$2,'TIS Site Config'!$A$3:$AQ$51,6,FALSE)="Extreme Heated")),
                              1,0),0)</f>
        <v>0</v>
      </c>
      <c r="AH92" s="222">
        <f>IF(VLOOKUP(AH$2,'TIS Site Config'!$A$4:$AQ$51,3,FALSE)&lt;&gt;"Soft",
          IF(
             AND(VLOOKUP(AH$2,'TIS Site Config'!$A$3:$AQ$51,30,FALSE)="Right",
                        VLOOKUP(AH$2,'TIS Site Config'!$A$3:$AQ$51,22,FALSE)="Combined",
                        OR(VLOOKUP(AH$2,'TIS Site Config'!$A$3:$AQ$51,6,FALSE)="Heated",
                                VLOOKUP(AH$2,'TIS Site Config'!$A$3:$AQ$51,6,FALSE)="Extreme Heated")),
                              1,0),0)</f>
        <v>0</v>
      </c>
      <c r="AI92" s="136">
        <f>IF(VLOOKUP(AI$2,'TIS Site Config'!$A$4:$AQ$51,3,FALSE)&lt;&gt;"Soft",
          IF(
             AND(VLOOKUP(AI$2,'TIS Site Config'!$A$3:$AQ$51,30,FALSE)="Right",
                        VLOOKUP(AI$2,'TIS Site Config'!$A$3:$AQ$51,22,FALSE)="Combined",
                        OR(VLOOKUP(AI$2,'TIS Site Config'!$A$3:$AQ$51,6,FALSE)="Heated",
                                VLOOKUP(AI$2,'TIS Site Config'!$A$3:$AQ$51,6,FALSE)="Extreme Heated")),
                              1,0),0)</f>
        <v>1</v>
      </c>
      <c r="AJ92" s="21">
        <f>IF(VLOOKUP(AJ$2,'TIS Site Config'!$A$4:$AQ$51,3,FALSE)&lt;&gt;"Soft",
          IF(
             AND(VLOOKUP(AJ$2,'TIS Site Config'!$A$3:$AQ$51,30,FALSE)="Right",
                        VLOOKUP(AJ$2,'TIS Site Config'!$A$3:$AQ$51,22,FALSE)="Combined",
                        OR(VLOOKUP(AJ$2,'TIS Site Config'!$A$3:$AQ$51,6,FALSE)="Heated",
                                VLOOKUP(AJ$2,'TIS Site Config'!$A$3:$AQ$51,6,FALSE)="Extreme Heated")),
                              1,0),0)</f>
        <v>1</v>
      </c>
      <c r="AK92" s="222">
        <f>IF(VLOOKUP(AK$2,'TIS Site Config'!$A$4:$AQ$51,3,FALSE)&lt;&gt;"Soft",
          IF(
             AND(VLOOKUP(AK$2,'TIS Site Config'!$A$3:$AQ$51,30,FALSE)="Right",
                        VLOOKUP(AK$2,'TIS Site Config'!$A$3:$AQ$51,22,FALSE)="Combined",
                        OR(VLOOKUP(AK$2,'TIS Site Config'!$A$3:$AQ$51,6,FALSE)="Heated",
                                VLOOKUP(AK$2,'TIS Site Config'!$A$3:$AQ$51,6,FALSE)="Extreme Heated")),
                              1,0),0)</f>
        <v>1</v>
      </c>
      <c r="AL92" s="136">
        <f>IF(VLOOKUP(AL$2,'TIS Site Config'!$A$4:$AQ$51,3,FALSE)&lt;&gt;"Soft",
          IF(
             AND(VLOOKUP(AL$2,'TIS Site Config'!$A$3:$AQ$51,30,FALSE)="Right",
                        VLOOKUP(AL$2,'TIS Site Config'!$A$3:$AQ$51,22,FALSE)="Combined",
                        OR(VLOOKUP(AL$2,'TIS Site Config'!$A$3:$AQ$51,6,FALSE)="Heated",
                                VLOOKUP(AL$2,'TIS Site Config'!$A$3:$AQ$51,6,FALSE)="Extreme Heated")),
                              1,0),0)</f>
        <v>1</v>
      </c>
      <c r="AM92" s="21">
        <f>IF(VLOOKUP(AM$2,'TIS Site Config'!$A$4:$AQ$51,3,FALSE)&lt;&gt;"Soft",
          IF(
             AND(VLOOKUP(AM$2,'TIS Site Config'!$A$3:$AQ$51,30,FALSE)="Right",
                        VLOOKUP(AM$2,'TIS Site Config'!$A$3:$AQ$51,22,FALSE)="Combined",
                        OR(VLOOKUP(AM$2,'TIS Site Config'!$A$3:$AQ$51,6,FALSE)="Heated",
                                VLOOKUP(AM$2,'TIS Site Config'!$A$3:$AQ$51,6,FALSE)="Extreme Heated")),
                              1,0),0)</f>
        <v>1</v>
      </c>
      <c r="AN92" s="222">
        <f>IF(VLOOKUP(AN$2,'TIS Site Config'!$A$4:$AQ$51,3,FALSE)&lt;&gt;"Soft",
          IF(
             AND(VLOOKUP(AN$2,'TIS Site Config'!$A$3:$AQ$51,30,FALSE)="Right",
                        VLOOKUP(AN$2,'TIS Site Config'!$A$3:$AQ$51,22,FALSE)="Combined",
                        OR(VLOOKUP(AN$2,'TIS Site Config'!$A$3:$AQ$51,6,FALSE)="Heated",
                                VLOOKUP(AN$2,'TIS Site Config'!$A$3:$AQ$51,6,FALSE)="Extreme Heated")),
                              1,0),0)</f>
        <v>1</v>
      </c>
      <c r="AO92" s="136">
        <f>IF(VLOOKUP(AO$2,'TIS Site Config'!$A$4:$AQ$51,3,FALSE)&lt;&gt;"Soft",
          IF(
             AND(VLOOKUP(AO$2,'TIS Site Config'!$A$3:$AQ$51,30,FALSE)="Right",
                        VLOOKUP(AO$2,'TIS Site Config'!$A$3:$AQ$51,22,FALSE)="Combined",
                        OR(VLOOKUP(AO$2,'TIS Site Config'!$A$3:$AQ$51,6,FALSE)="Heated",
                                VLOOKUP(AO$2,'TIS Site Config'!$A$3:$AQ$51,6,FALSE)="Extreme Heated")),
                              1,0),0)</f>
        <v>1</v>
      </c>
      <c r="AP92" s="21">
        <f>IF(VLOOKUP(AP$2,'TIS Site Config'!$A$4:$AQ$51,3,FALSE)&lt;&gt;"Soft",
          IF(
             AND(VLOOKUP(AP$2,'TIS Site Config'!$A$3:$AQ$51,30,FALSE)="Right",
                        VLOOKUP(AP$2,'TIS Site Config'!$A$3:$AQ$51,22,FALSE)="Combined",
                        OR(VLOOKUP(AP$2,'TIS Site Config'!$A$3:$AQ$51,6,FALSE)="Heated",
                                VLOOKUP(AP$2,'TIS Site Config'!$A$3:$AQ$51,6,FALSE)="Extreme Heated")),
                              1,0),0)</f>
        <v>0</v>
      </c>
      <c r="AQ92" s="136">
        <f>IF(VLOOKUP(AQ$2,'TIS Site Config'!$A$4:$AQ$51,3,FALSE)&lt;&gt;"Soft",
          IF(
             AND(VLOOKUP(AQ$2,'TIS Site Config'!$A$3:$AQ$51,30,FALSE)="Right",
                        VLOOKUP(AQ$2,'TIS Site Config'!$A$3:$AQ$51,22,FALSE)="Combined",
                        OR(VLOOKUP(AQ$2,'TIS Site Config'!$A$3:$AQ$51,6,FALSE)="Heated",
                                VLOOKUP(AQ$2,'TIS Site Config'!$A$3:$AQ$51,6,FALSE)="Extreme Heated")),
                              1,0),0)</f>
        <v>0</v>
      </c>
      <c r="AR92" s="136">
        <f>IF(VLOOKUP(AR$2,'TIS Site Config'!$A$4:$AQ$51,3,FALSE)&lt;&gt;"Soft",
          IF(
             AND(VLOOKUP(AR$2,'TIS Site Config'!$A$3:$AQ$51,30,FALSE)="Right",
                        VLOOKUP(AR$2,'TIS Site Config'!$A$3:$AQ$51,22,FALSE)="Combined",
                        OR(VLOOKUP(AR$2,'TIS Site Config'!$A$3:$AQ$51,6,FALSE)="Heated",
                                VLOOKUP(AR$2,'TIS Site Config'!$A$3:$AQ$51,6,FALSE)="Extreme Heated")),
                              1,0),0)</f>
        <v>1</v>
      </c>
      <c r="AS92" s="21">
        <f>IF(VLOOKUP(AS$2,'TIS Site Config'!$A$4:$AQ$51,3,FALSE)&lt;&gt;"Soft",
          IF(
             AND(VLOOKUP(AS$2,'TIS Site Config'!$A$3:$AQ$51,30,FALSE)="Right",
                        VLOOKUP(AS$2,'TIS Site Config'!$A$3:$AQ$51,22,FALSE)="Combined",
                        OR(VLOOKUP(AS$2,'TIS Site Config'!$A$3:$AQ$51,6,FALSE)="Heated",
                                VLOOKUP(AS$2,'TIS Site Config'!$A$3:$AQ$51,6,FALSE)="Extreme Heated")),
                              1,0),0)</f>
        <v>1</v>
      </c>
      <c r="AT92" s="136">
        <f>IF(VLOOKUP(AT$2,'TIS Site Config'!$A$4:$AQ$51,3,FALSE)&lt;&gt;"Soft",
          IF(
             AND(VLOOKUP(AT$2,'TIS Site Config'!$A$3:$AQ$51,30,FALSE)="Right",
                        VLOOKUP(AT$2,'TIS Site Config'!$A$3:$AQ$51,22,FALSE)="Combined",
                        OR(VLOOKUP(AT$2,'TIS Site Config'!$A$3:$AQ$51,6,FALSE)="Heated",
                                VLOOKUP(AT$2,'TIS Site Config'!$A$3:$AQ$51,6,FALSE)="Extreme Heated")),
                              1,0),0)</f>
        <v>0</v>
      </c>
      <c r="AU92" s="21">
        <f>IF(VLOOKUP(AU$2,'TIS Site Config'!$A$4:$AQ$51,3,FALSE)&lt;&gt;"Soft",
          IF(
             AND(VLOOKUP(AU$2,'TIS Site Config'!$A$3:$AQ$51,30,FALSE)="Right",
                        VLOOKUP(AU$2,'TIS Site Config'!$A$3:$AQ$51,22,FALSE)="Combined",
                        OR(VLOOKUP(AU$2,'TIS Site Config'!$A$3:$AQ$51,6,FALSE)="Heated",
                                VLOOKUP(AU$2,'TIS Site Config'!$A$3:$AQ$51,6,FALSE)="Extreme Heated")),
                              1,0),0)</f>
        <v>0</v>
      </c>
      <c r="AV92" s="136">
        <f>IF(VLOOKUP(AV$2,'TIS Site Config'!$A$4:$AQ$51,3,FALSE)&lt;&gt;"Soft",
          IF(
             AND(VLOOKUP(AV$2,'TIS Site Config'!$A$3:$AQ$51,30,FALSE)="Right",
                        VLOOKUP(AV$2,'TIS Site Config'!$A$3:$AQ$51,22,FALSE)="Combined",
                        OR(VLOOKUP(AV$2,'TIS Site Config'!$A$3:$AQ$51,6,FALSE)="Heated",
                                VLOOKUP(AV$2,'TIS Site Config'!$A$3:$AQ$51,6,FALSE)="Extreme Heated")),
                              1,0),0)</f>
        <v>0</v>
      </c>
      <c r="AW92" s="136">
        <f>IF(VLOOKUP(AW$2,'TIS Site Config'!$A$4:$AQ$51,3,FALSE)&lt;&gt;"Soft",
          IF(
             AND(VLOOKUP(AW$2,'TIS Site Config'!$A$3:$AQ$51,30,FALSE)="Right",
                        VLOOKUP(AW$2,'TIS Site Config'!$A$3:$AQ$51,22,FALSE)="Combined",
                        OR(VLOOKUP(AW$2,'TIS Site Config'!$A$3:$AQ$51,6,FALSE)="Heated",
                                VLOOKUP(AW$2,'TIS Site Config'!$A$3:$AQ$51,6,FALSE)="Extreme Heated")),
                              1,0),0)</f>
        <v>1</v>
      </c>
      <c r="AX92" s="222">
        <f>IF(VLOOKUP(AX$2,'TIS Site Config'!$A$4:$AQ$51,3,FALSE)&lt;&gt;"Soft",
          IF(
             AND(VLOOKUP(AX$2,'TIS Site Config'!$A$3:$AQ$51,30,FALSE)="Right",
                        VLOOKUP(AX$2,'TIS Site Config'!$A$3:$AQ$51,22,FALSE)="Combined",
                        OR(VLOOKUP(AX$2,'TIS Site Config'!$A$3:$AQ$51,6,FALSE)="Heated",
                                VLOOKUP(AX$2,'TIS Site Config'!$A$3:$AQ$51,6,FALSE)="Extreme Heated")),
                              1,0),0)</f>
        <v>1</v>
      </c>
      <c r="AY92" s="136">
        <f>IF(VLOOKUP(AY$2,'TIS Site Config'!$A$4:$AQ$51,3,FALSE)&lt;&gt;"Soft",
          IF(
             AND(VLOOKUP(AY$2,'TIS Site Config'!$A$3:$AQ$51,30,FALSE)="Right",
                        VLOOKUP(AY$2,'TIS Site Config'!$A$3:$AQ$51,22,FALSE)="Combined",
                        OR(VLOOKUP(AY$2,'TIS Site Config'!$A$3:$AQ$51,6,FALSE)="Heated",
                                VLOOKUP(AY$2,'TIS Site Config'!$A$3:$AQ$51,6,FALSE)="Extreme Heated")),
                              1,0),0)</f>
        <v>0</v>
      </c>
      <c r="AZ92" s="21">
        <f>IF(VLOOKUP(AZ$2,'TIS Site Config'!$A$4:$AQ$51,3,FALSE)&lt;&gt;"Soft",
          IF(
             AND(VLOOKUP(AZ$2,'TIS Site Config'!$A$3:$AQ$51,30,FALSE)="Right",
                        VLOOKUP(AZ$2,'TIS Site Config'!$A$3:$AQ$51,22,FALSE)="Combined",
                        OR(VLOOKUP(AZ$2,'TIS Site Config'!$A$3:$AQ$51,6,FALSE)="Heated",
                                VLOOKUP(AZ$2,'TIS Site Config'!$A$3:$AQ$51,6,FALSE)="Extreme Heated")),
                              1,0),0)</f>
        <v>0</v>
      </c>
      <c r="BA92" s="223">
        <f>IF(VLOOKUP(BA$2,'TIS Site Config'!$A$4:$AQ$51,3,FALSE)&lt;&gt;"Soft",
          IF(
             AND(VLOOKUP(BA$2,'TIS Site Config'!$A$3:$AQ$51,30,FALSE)="Right",
                        VLOOKUP(BA$2,'TIS Site Config'!$A$3:$AQ$51,22,FALSE)="Combined",
                        OR(VLOOKUP(BA$2,'TIS Site Config'!$A$3:$AQ$51,6,FALSE)="Heated",
                                VLOOKUP(BA$2,'TIS Site Config'!$A$3:$AQ$51,6,FALSE)="Extreme Heated")),
                              1,0),0)</f>
        <v>1</v>
      </c>
      <c r="BB92" s="136">
        <f>IF(VLOOKUP(BB$2,'TIS Site Config'!$A$4:$AQ$51,3,FALSE)&lt;&gt;"Soft",
          IF(
             AND(VLOOKUP(BB$2,'TIS Site Config'!$A$3:$AQ$51,30,FALSE)="Right",
                        VLOOKUP(BB$2,'TIS Site Config'!$A$3:$AQ$51,22,FALSE)="Combined",
                        OR(VLOOKUP(BB$2,'TIS Site Config'!$A$3:$AQ$51,6,FALSE)="Heated",
                                VLOOKUP(BB$2,'TIS Site Config'!$A$3:$AQ$51,6,FALSE)="Extreme Heated")),
                              1,0),0)</f>
        <v>1</v>
      </c>
      <c r="BC92" s="222">
        <f>IF(VLOOKUP(BC$2,'TIS Site Config'!$A$4:$AQ$51,3,FALSE)&lt;&gt;"Soft",
          IF(
             AND(VLOOKUP(BC$2,'TIS Site Config'!$A$3:$AQ$51,30,FALSE)="Right",
                        VLOOKUP(BC$2,'TIS Site Config'!$A$3:$AQ$51,22,FALSE)="Combined",
                        OR(VLOOKUP(BC$2,'TIS Site Config'!$A$3:$AQ$51,6,FALSE)="Heated",
                                VLOOKUP(BC$2,'TIS Site Config'!$A$3:$AQ$51,6,FALSE)="Extreme Heated")),
                              1,0),0)</f>
        <v>1</v>
      </c>
      <c r="BD92" s="136">
        <f>IF(VLOOKUP(BD$2,'TIS Site Config'!$A$4:$AQ$51,3,FALSE)&lt;&gt;"Soft",
          IF(
             AND(VLOOKUP(BD$2,'TIS Site Config'!$A$3:$AQ$51,30,FALSE)="Right",
                        VLOOKUP(BD$2,'TIS Site Config'!$A$3:$AQ$51,22,FALSE)="Combined",
                        OR(VLOOKUP(BD$2,'TIS Site Config'!$A$3:$AQ$51,6,FALSE)="Heated",
                                VLOOKUP(BD$2,'TIS Site Config'!$A$3:$AQ$51,6,FALSE)="Extreme Heated")),
                              1,0),0)</f>
        <v>1</v>
      </c>
      <c r="BE92" s="21">
        <f>IF(VLOOKUP(BE$2,'TIS Site Config'!$A$4:$AQ$51,3,FALSE)&lt;&gt;"Soft",
          IF(
             AND(VLOOKUP(BE$2,'TIS Site Config'!$A$3:$AQ$51,30,FALSE)="Right",
                        VLOOKUP(BE$2,'TIS Site Config'!$A$3:$AQ$51,22,FALSE)="Combined",
                        OR(VLOOKUP(BE$2,'TIS Site Config'!$A$3:$AQ$51,6,FALSE)="Heated",
                                VLOOKUP(BE$2,'TIS Site Config'!$A$3:$AQ$51,6,FALSE)="Extreme Heated")),
                              1,0),0)</f>
        <v>1</v>
      </c>
      <c r="BF92" s="222">
        <f>IF(VLOOKUP(BF$2,'TIS Site Config'!$A$4:$AQ$51,3,FALSE)&lt;&gt;"Soft",
          IF(
             AND(VLOOKUP(BF$2,'TIS Site Config'!$A$3:$AQ$51,30,FALSE)="Right",
                        VLOOKUP(BF$2,'TIS Site Config'!$A$3:$AQ$51,22,FALSE)="Combined",
                        OR(VLOOKUP(BF$2,'TIS Site Config'!$A$3:$AQ$51,6,FALSE)="Heated",
                                VLOOKUP(BF$2,'TIS Site Config'!$A$3:$AQ$51,6,FALSE)="Extreme Heated")),
                              1,0),0)</f>
        <v>1</v>
      </c>
      <c r="BG92" s="62">
        <f>IF(VLOOKUP(BG$2,'TIS Site Config'!$A$4:$AQ$51,3,FALSE)&lt;&gt;"Soft",
          IF(
             AND(VLOOKUP(BG$2,'TIS Site Config'!$A$3:$AQ$51,30,FALSE)="Right",
                        VLOOKUP(BG$2,'TIS Site Config'!$A$3:$AQ$51,22,FALSE)="Combined",
                        OR(VLOOKUP(BG$2,'TIS Site Config'!$A$3:$AQ$51,6,FALSE)="Heated",
                                VLOOKUP(BG$2,'TIS Site Config'!$A$3:$AQ$51,6,FALSE)="Extreme Heated")),
                              1,0),0)</f>
        <v>0</v>
      </c>
      <c r="BH92" s="62">
        <f>IF(VLOOKUP(BH$2,'TIS Site Config'!$A$4:$AQ$51,3,FALSE)&lt;&gt;"Soft",
          IF(
             AND(VLOOKUP(BH$2,'TIS Site Config'!$A$3:$AQ$51,30,FALSE)="Right",
                        VLOOKUP(BH$2,'TIS Site Config'!$A$3:$AQ$51,22,FALSE)="Combined",
                        OR(VLOOKUP(BH$2,'TIS Site Config'!$A$3:$AQ$51,6,FALSE)="Heated",
                                VLOOKUP(BH$2,'TIS Site Config'!$A$3:$AQ$51,6,FALSE)="Extreme Heated")),
                              1,0),0)</f>
        <v>0</v>
      </c>
      <c r="BK92" s="3">
        <v>16</v>
      </c>
      <c r="BL92" s="950" t="b">
        <f t="shared" si="6"/>
        <v>0</v>
      </c>
      <c r="BO92" s="950"/>
    </row>
    <row r="93" spans="1:67" s="10" customFormat="1" x14ac:dyDescent="0.25">
      <c r="A93" s="1366"/>
      <c r="B93" s="1333"/>
      <c r="C93" s="57" t="s">
        <v>339</v>
      </c>
      <c r="D93" s="90">
        <v>2</v>
      </c>
      <c r="E93" s="85" t="s">
        <v>333</v>
      </c>
      <c r="F93" s="60">
        <f t="shared" si="5"/>
        <v>2</v>
      </c>
      <c r="G93" s="459"/>
      <c r="H93" s="460">
        <v>1</v>
      </c>
      <c r="I93" s="460">
        <v>1</v>
      </c>
      <c r="J93" s="460"/>
      <c r="K93" s="461"/>
      <c r="L93" s="494"/>
      <c r="M93" s="134">
        <f>IF(VLOOKUP(M$2,'TIS Site Config'!$A$4:$AQ$51,3,FALSE)&lt;&gt;"Soft",
          IF(
             AND(VLOOKUP(M$2,'TIS Site Config'!$A$3:$AQ$51,30,FALSE)="Left",
                        OR(VLOOKUP(M$2,'TIS Site Config'!$A$3:$AQ$51,22,FALSE)="Split",
                                   AND(VLOOKUP(M$2,'TIS Site Config'!$A$3:$AQ$51,22,FALSE)="Combined",
                                              VLOOKUP(M$2,'TIS Site Config'!$A$3:$AQ$51,6,FALSE)="Non-heated"))),
                              1,0),0)</f>
        <v>0</v>
      </c>
      <c r="N93" s="212">
        <f>IF(VLOOKUP(N$2,'TIS Site Config'!$A$4:$AQ$51,3,FALSE)&lt;&gt;"Soft",
          IF(
             AND(VLOOKUP(N$2,'TIS Site Config'!$A$3:$AQ$51,30,FALSE)="Left",
                        OR(VLOOKUP(N$2,'TIS Site Config'!$A$3:$AQ$51,22,FALSE)="Split",
                                   AND(VLOOKUP(N$2,'TIS Site Config'!$A$3:$AQ$51,22,FALSE)="Combined",
                                              VLOOKUP(N$2,'TIS Site Config'!$A$3:$AQ$51,6,FALSE)="Non-heated"))),
                              1,0),0)</f>
        <v>0</v>
      </c>
      <c r="O93" s="215">
        <f>IF(VLOOKUP(O$2,'TIS Site Config'!$A$4:$AQ$51,3,FALSE)&lt;&gt;"Soft",
          IF(
             AND(VLOOKUP(O$2,'TIS Site Config'!$A$3:$AQ$51,30,FALSE)="Left",
                        OR(VLOOKUP(O$2,'TIS Site Config'!$A$3:$AQ$51,22,FALSE)="Split",
                                   AND(VLOOKUP(O$2,'TIS Site Config'!$A$3:$AQ$51,22,FALSE)="Combined",
                                              VLOOKUP(O$2,'TIS Site Config'!$A$3:$AQ$51,6,FALSE)="Non-heated"))),
                              1,0),0)</f>
        <v>0</v>
      </c>
      <c r="P93" s="309">
        <f>IF(VLOOKUP(P$2,'TIS Site Config'!$A$4:$AQ$51,3,FALSE)&lt;&gt;"Soft",
          IF(
             AND(VLOOKUP(P$2,'TIS Site Config'!$A$3:$AQ$51,30,FALSE)="Left",
                        OR(VLOOKUP(P$2,'TIS Site Config'!$A$3:$AQ$51,22,FALSE)="Split",
                                   AND(VLOOKUP(P$2,'TIS Site Config'!$A$3:$AQ$51,22,FALSE)="Combined",
                                              VLOOKUP(P$2,'TIS Site Config'!$A$3:$AQ$51,6,FALSE)="Non-heated"))),
                              1,0),0)</f>
        <v>0</v>
      </c>
      <c r="Q93" s="212">
        <f>IF(VLOOKUP(Q$2,'TIS Site Config'!$A$4:$AQ$51,3,FALSE)&lt;&gt;"Soft",
          IF(
             AND(VLOOKUP(Q$2,'TIS Site Config'!$A$3:$AQ$51,30,FALSE)="Left",
                        OR(VLOOKUP(Q$2,'TIS Site Config'!$A$3:$AQ$51,22,FALSE)="Split",
                                   AND(VLOOKUP(Q$2,'TIS Site Config'!$A$3:$AQ$51,22,FALSE)="Combined",
                                              VLOOKUP(Q$2,'TIS Site Config'!$A$3:$AQ$51,6,FALSE)="Non-heated"))),
                              1,0),0)</f>
        <v>0</v>
      </c>
      <c r="R93" s="134">
        <f>IF(VLOOKUP(R$2,'TIS Site Config'!$A$4:$AQ$51,3,FALSE)&lt;&gt;"Soft",
          IF(
             AND(VLOOKUP(R$2,'TIS Site Config'!$A$3:$AQ$51,30,FALSE)="Left",
                        OR(VLOOKUP(R$2,'TIS Site Config'!$A$3:$AQ$51,22,FALSE)="Split",
                                   AND(VLOOKUP(R$2,'TIS Site Config'!$A$3:$AQ$51,22,FALSE)="Combined",
                                              VLOOKUP(R$2,'TIS Site Config'!$A$3:$AQ$51,6,FALSE)="Non-heated"))),
                              1,0),0)</f>
        <v>1</v>
      </c>
      <c r="S93" s="309">
        <f>IF(VLOOKUP(S$2,'TIS Site Config'!$A$4:$AQ$51,3,FALSE)&lt;&gt;"Soft",
          IF(
             AND(VLOOKUP(S$2,'TIS Site Config'!$A$3:$AQ$51,30,FALSE)="Left",
                        OR(VLOOKUP(S$2,'TIS Site Config'!$A$3:$AQ$51,22,FALSE)="Split",
                                   AND(VLOOKUP(S$2,'TIS Site Config'!$A$3:$AQ$51,22,FALSE)="Combined",
                                              VLOOKUP(S$2,'TIS Site Config'!$A$3:$AQ$51,6,FALSE)="Non-heated"))),
                              1,0),0)</f>
        <v>0</v>
      </c>
      <c r="T93" s="212">
        <f>IF(VLOOKUP(T$2,'TIS Site Config'!$A$4:$AQ$51,3,FALSE)&lt;&gt;"Soft",
          IF(
             AND(VLOOKUP(T$2,'TIS Site Config'!$A$3:$AQ$51,30,FALSE)="Left",
                        OR(VLOOKUP(T$2,'TIS Site Config'!$A$3:$AQ$51,22,FALSE)="Split",
                                   AND(VLOOKUP(T$2,'TIS Site Config'!$A$3:$AQ$51,22,FALSE)="Combined",
                                              VLOOKUP(T$2,'TIS Site Config'!$A$3:$AQ$51,6,FALSE)="Non-heated"))),
                              1,0),0)</f>
        <v>1</v>
      </c>
      <c r="U93" s="134">
        <f>IF(VLOOKUP(U$2,'TIS Site Config'!$A$4:$AQ$51,3,FALSE)&lt;&gt;"Soft",
          IF(
             AND(VLOOKUP(U$2,'TIS Site Config'!$A$3:$AQ$51,30,FALSE)="Left",
                        OR(VLOOKUP(U$2,'TIS Site Config'!$A$3:$AQ$51,22,FALSE)="Split",
                                   AND(VLOOKUP(U$2,'TIS Site Config'!$A$3:$AQ$51,22,FALSE)="Combined",
                                              VLOOKUP(U$2,'TIS Site Config'!$A$3:$AQ$51,6,FALSE)="Non-heated"))),
                              1,0),0)</f>
        <v>0</v>
      </c>
      <c r="V93" s="212">
        <f>IF(VLOOKUP(V$2,'TIS Site Config'!$A$4:$AQ$51,3,FALSE)&lt;&gt;"Soft",
          IF(
             AND(VLOOKUP(V$2,'TIS Site Config'!$A$3:$AQ$51,30,FALSE)="Left",
                        OR(VLOOKUP(V$2,'TIS Site Config'!$A$3:$AQ$51,22,FALSE)="Split",
                                   AND(VLOOKUP(V$2,'TIS Site Config'!$A$3:$AQ$51,22,FALSE)="Combined",
                                              VLOOKUP(V$2,'TIS Site Config'!$A$3:$AQ$51,6,FALSE)="Non-heated"))),
                              1,0),0)</f>
        <v>0</v>
      </c>
      <c r="W93" s="214">
        <f>IF(VLOOKUP(W$2,'TIS Site Config'!$A$4:$AQ$51,3,FALSE)&lt;&gt;"Soft",
          IF(
             AND(VLOOKUP(W$2,'TIS Site Config'!$A$3:$AQ$51,30,FALSE)="Left",
                        OR(VLOOKUP(W$2,'TIS Site Config'!$A$3:$AQ$51,22,FALSE)="Split",
                                   AND(VLOOKUP(W$2,'TIS Site Config'!$A$3:$AQ$51,22,FALSE)="Combined",
                                              VLOOKUP(W$2,'TIS Site Config'!$A$3:$AQ$51,6,FALSE)="Non-heated"))),
                              1,0),0)</f>
        <v>0</v>
      </c>
      <c r="X93" s="309">
        <f>IF(VLOOKUP(X$2,'TIS Site Config'!$A$4:$AQ$51,3,FALSE)&lt;&gt;"Soft",
          IF(
             AND(VLOOKUP(X$2,'TIS Site Config'!$A$3:$AQ$51,30,FALSE)="Left",
                        OR(VLOOKUP(X$2,'TIS Site Config'!$A$3:$AQ$51,22,FALSE)="Split",
                                   AND(VLOOKUP(X$2,'TIS Site Config'!$A$3:$AQ$51,22,FALSE)="Combined",
                                              VLOOKUP(X$2,'TIS Site Config'!$A$3:$AQ$51,6,FALSE)="Non-heated"))),
                              1,0),0)</f>
        <v>0</v>
      </c>
      <c r="Y93" s="212">
        <f>IF(VLOOKUP(Y$2,'TIS Site Config'!$A$4:$AQ$51,3,FALSE)&lt;&gt;"Soft",
          IF(
             AND(VLOOKUP(Y$2,'TIS Site Config'!$A$3:$AQ$51,30,FALSE)="Left",
                        OR(VLOOKUP(Y$2,'TIS Site Config'!$A$3:$AQ$51,22,FALSE)="Split",
                                   AND(VLOOKUP(Y$2,'TIS Site Config'!$A$3:$AQ$51,22,FALSE)="Combined",
                                              VLOOKUP(Y$2,'TIS Site Config'!$A$3:$AQ$51,6,FALSE)="Non-heated"))),
                              1,0),0)</f>
        <v>0</v>
      </c>
      <c r="Z93" s="134">
        <f>IF(VLOOKUP(Z$2,'TIS Site Config'!$A$4:$AQ$51,3,FALSE)&lt;&gt;"Soft",
          IF(
             AND(VLOOKUP(Z$2,'TIS Site Config'!$A$3:$AQ$51,30,FALSE)="Left",
                        OR(VLOOKUP(Z$2,'TIS Site Config'!$A$3:$AQ$51,22,FALSE)="Split",
                                   AND(VLOOKUP(Z$2,'TIS Site Config'!$A$3:$AQ$51,22,FALSE)="Combined",
                                              VLOOKUP(Z$2,'TIS Site Config'!$A$3:$AQ$51,6,FALSE)="Non-heated"))),
                              1,0),0)</f>
        <v>0</v>
      </c>
      <c r="AA93" s="309">
        <f>IF(VLOOKUP(AA$2,'TIS Site Config'!$A$4:$AQ$51,3,FALSE)&lt;&gt;"Soft",
          IF(
             AND(VLOOKUP(AA$2,'TIS Site Config'!$A$3:$AQ$51,30,FALSE)="Left",
                        OR(VLOOKUP(AA$2,'TIS Site Config'!$A$3:$AQ$51,22,FALSE)="Split",
                                   AND(VLOOKUP(AA$2,'TIS Site Config'!$A$3:$AQ$51,22,FALSE)="Combined",
                                              VLOOKUP(AA$2,'TIS Site Config'!$A$3:$AQ$51,6,FALSE)="Non-heated"))),
                              1,0),0)</f>
        <v>0</v>
      </c>
      <c r="AB93" s="212">
        <f>IF(VLOOKUP(AB$2,'TIS Site Config'!$A$4:$AQ$51,3,FALSE)&lt;&gt;"Soft",
          IF(
             AND(VLOOKUP(AB$2,'TIS Site Config'!$A$3:$AQ$51,30,FALSE)="Left",
                        OR(VLOOKUP(AB$2,'TIS Site Config'!$A$3:$AQ$51,22,FALSE)="Split",
                                   AND(VLOOKUP(AB$2,'TIS Site Config'!$A$3:$AQ$51,22,FALSE)="Combined",
                                              VLOOKUP(AB$2,'TIS Site Config'!$A$3:$AQ$51,6,FALSE)="Non-heated"))),
                              1,0),0)</f>
        <v>0</v>
      </c>
      <c r="AC93" s="309">
        <f>IF(VLOOKUP(AC$2,'TIS Site Config'!$A$4:$AQ$51,3,FALSE)&lt;&gt;"Soft",
          IF(
             AND(VLOOKUP(AC$2,'TIS Site Config'!$A$3:$AQ$51,30,FALSE)="Left",
                        OR(VLOOKUP(AC$2,'TIS Site Config'!$A$3:$AQ$51,22,FALSE)="Split",
                                   AND(VLOOKUP(AC$2,'TIS Site Config'!$A$3:$AQ$51,22,FALSE)="Combined",
                                              VLOOKUP(AC$2,'TIS Site Config'!$A$3:$AQ$51,6,FALSE)="Non-heated"))),
                              1,0),0)</f>
        <v>0</v>
      </c>
      <c r="AD93" s="213">
        <f>IF(VLOOKUP(AD$2,'TIS Site Config'!$A$4:$AQ$51,3,FALSE)&lt;&gt;"Soft",
          IF(
             AND(VLOOKUP(AD$2,'TIS Site Config'!$A$3:$AQ$51,30,FALSE)="Left",
                        OR(VLOOKUP(AD$2,'TIS Site Config'!$A$3:$AQ$51,22,FALSE)="Split",
                                   AND(VLOOKUP(AD$2,'TIS Site Config'!$A$3:$AQ$51,22,FALSE)="Combined",
                                              VLOOKUP(AD$2,'TIS Site Config'!$A$3:$AQ$51,6,FALSE)="Non-heated"))),
                              1,0),0)</f>
        <v>0</v>
      </c>
      <c r="AE93" s="213">
        <f>IF(VLOOKUP(AE$2,'TIS Site Config'!$A$4:$AQ$51,3,FALSE)&lt;&gt;"Soft",
          IF(
             AND(VLOOKUP(AE$2,'TIS Site Config'!$A$3:$AQ$51,30,FALSE)="Left",
                        OR(VLOOKUP(AE$2,'TIS Site Config'!$A$3:$AQ$51,22,FALSE)="Split",
                                   AND(VLOOKUP(AE$2,'TIS Site Config'!$A$3:$AQ$51,22,FALSE)="Combined",
                                              VLOOKUP(AE$2,'TIS Site Config'!$A$3:$AQ$51,6,FALSE)="Non-heated"))),
                              1,0),0)</f>
        <v>0</v>
      </c>
      <c r="AF93" s="39">
        <f>IF(VLOOKUP(AF$2,'TIS Site Config'!$A$4:$AQ$51,3,FALSE)&lt;&gt;"Soft",
          IF(
             AND(VLOOKUP(AF$2,'TIS Site Config'!$A$3:$AQ$51,30,FALSE)="Left",
                        OR(VLOOKUP(AF$2,'TIS Site Config'!$A$3:$AQ$51,22,FALSE)="Split",
                                   AND(VLOOKUP(AF$2,'TIS Site Config'!$A$3:$AQ$51,22,FALSE)="Combined",
                                              VLOOKUP(AF$2,'TIS Site Config'!$A$3:$AQ$51,6,FALSE)="Non-heated"))),
                              1,0),0)</f>
        <v>0</v>
      </c>
      <c r="AG93" s="309">
        <f>IF(VLOOKUP(AG$2,'TIS Site Config'!$A$4:$AQ$51,3,FALSE)&lt;&gt;"Soft",
          IF(
             AND(VLOOKUP(AG$2,'TIS Site Config'!$A$3:$AQ$51,30,FALSE)="Left",
                        OR(VLOOKUP(AG$2,'TIS Site Config'!$A$3:$AQ$51,22,FALSE)="Split",
                                   AND(VLOOKUP(AG$2,'TIS Site Config'!$A$3:$AQ$51,22,FALSE)="Combined",
                                              VLOOKUP(AG$2,'TIS Site Config'!$A$3:$AQ$51,6,FALSE)="Non-heated"))),
                              1,0),0)</f>
        <v>0</v>
      </c>
      <c r="AH93" s="212">
        <f>IF(VLOOKUP(AH$2,'TIS Site Config'!$A$4:$AQ$51,3,FALSE)&lt;&gt;"Soft",
          IF(
             AND(VLOOKUP(AH$2,'TIS Site Config'!$A$3:$AQ$51,30,FALSE)="Left",
                        OR(VLOOKUP(AH$2,'TIS Site Config'!$A$3:$AQ$51,22,FALSE)="Split",
                                   AND(VLOOKUP(AH$2,'TIS Site Config'!$A$3:$AQ$51,22,FALSE)="Combined",
                                              VLOOKUP(AH$2,'TIS Site Config'!$A$3:$AQ$51,6,FALSE)="Non-heated"))),
                              1,0),0)</f>
        <v>0</v>
      </c>
      <c r="AI93" s="134">
        <f>IF(VLOOKUP(AI$2,'TIS Site Config'!$A$4:$AQ$51,3,FALSE)&lt;&gt;"Soft",
          IF(
             AND(VLOOKUP(AI$2,'TIS Site Config'!$A$3:$AQ$51,30,FALSE)="Left",
                        OR(VLOOKUP(AI$2,'TIS Site Config'!$A$3:$AQ$51,22,FALSE)="Split",
                                   AND(VLOOKUP(AI$2,'TIS Site Config'!$A$3:$AQ$51,22,FALSE)="Combined",
                                              VLOOKUP(AI$2,'TIS Site Config'!$A$3:$AQ$51,6,FALSE)="Non-heated"))),
                              1,0),0)</f>
        <v>0</v>
      </c>
      <c r="AJ93" s="309">
        <f>IF(VLOOKUP(AJ$2,'TIS Site Config'!$A$4:$AQ$51,3,FALSE)&lt;&gt;"Soft",
          IF(
             AND(VLOOKUP(AJ$2,'TIS Site Config'!$A$3:$AQ$51,30,FALSE)="Left",
                        OR(VLOOKUP(AJ$2,'TIS Site Config'!$A$3:$AQ$51,22,FALSE)="Split",
                                   AND(VLOOKUP(AJ$2,'TIS Site Config'!$A$3:$AQ$51,22,FALSE)="Combined",
                                              VLOOKUP(AJ$2,'TIS Site Config'!$A$3:$AQ$51,6,FALSE)="Non-heated"))),
                              1,0),0)</f>
        <v>0</v>
      </c>
      <c r="AK93" s="212">
        <f>IF(VLOOKUP(AK$2,'TIS Site Config'!$A$4:$AQ$51,3,FALSE)&lt;&gt;"Soft",
          IF(
             AND(VLOOKUP(AK$2,'TIS Site Config'!$A$3:$AQ$51,30,FALSE)="Left",
                        OR(VLOOKUP(AK$2,'TIS Site Config'!$A$3:$AQ$51,22,FALSE)="Split",
                                   AND(VLOOKUP(AK$2,'TIS Site Config'!$A$3:$AQ$51,22,FALSE)="Combined",
                                              VLOOKUP(AK$2,'TIS Site Config'!$A$3:$AQ$51,6,FALSE)="Non-heated"))),
                              1,0),0)</f>
        <v>0</v>
      </c>
      <c r="AL93" s="134">
        <f>IF(VLOOKUP(AL$2,'TIS Site Config'!$A$4:$AQ$51,3,FALSE)&lt;&gt;"Soft",
          IF(
             AND(VLOOKUP(AL$2,'TIS Site Config'!$A$3:$AQ$51,30,FALSE)="Left",
                        OR(VLOOKUP(AL$2,'TIS Site Config'!$A$3:$AQ$51,22,FALSE)="Split",
                                   AND(VLOOKUP(AL$2,'TIS Site Config'!$A$3:$AQ$51,22,FALSE)="Combined",
                                              VLOOKUP(AL$2,'TIS Site Config'!$A$3:$AQ$51,6,FALSE)="Non-heated"))),
                              1,0),0)</f>
        <v>0</v>
      </c>
      <c r="AM93" s="309">
        <f>IF(VLOOKUP(AM$2,'TIS Site Config'!$A$4:$AQ$51,3,FALSE)&lt;&gt;"Soft",
          IF(
             AND(VLOOKUP(AM$2,'TIS Site Config'!$A$3:$AQ$51,30,FALSE)="Left",
                        OR(VLOOKUP(AM$2,'TIS Site Config'!$A$3:$AQ$51,22,FALSE)="Split",
                                   AND(VLOOKUP(AM$2,'TIS Site Config'!$A$3:$AQ$51,22,FALSE)="Combined",
                                              VLOOKUP(AM$2,'TIS Site Config'!$A$3:$AQ$51,6,FALSE)="Non-heated"))),
                              1,0),0)</f>
        <v>0</v>
      </c>
      <c r="AN93" s="212">
        <f>IF(VLOOKUP(AN$2,'TIS Site Config'!$A$4:$AQ$51,3,FALSE)&lt;&gt;"Soft",
          IF(
             AND(VLOOKUP(AN$2,'TIS Site Config'!$A$3:$AQ$51,30,FALSE)="Left",
                        OR(VLOOKUP(AN$2,'TIS Site Config'!$A$3:$AQ$51,22,FALSE)="Split",
                                   AND(VLOOKUP(AN$2,'TIS Site Config'!$A$3:$AQ$51,22,FALSE)="Combined",
                                              VLOOKUP(AN$2,'TIS Site Config'!$A$3:$AQ$51,6,FALSE)="Non-heated"))),
                              1,0),0)</f>
        <v>0</v>
      </c>
      <c r="AO93" s="134">
        <f>IF(VLOOKUP(AO$2,'TIS Site Config'!$A$4:$AQ$51,3,FALSE)&lt;&gt;"Soft",
          IF(
             AND(VLOOKUP(AO$2,'TIS Site Config'!$A$3:$AQ$51,30,FALSE)="Left",
                        OR(VLOOKUP(AO$2,'TIS Site Config'!$A$3:$AQ$51,22,FALSE)="Split",
                                   AND(VLOOKUP(AO$2,'TIS Site Config'!$A$3:$AQ$51,22,FALSE)="Combined",
                                              VLOOKUP(AO$2,'TIS Site Config'!$A$3:$AQ$51,6,FALSE)="Non-heated"))),
                              1,0),0)</f>
        <v>0</v>
      </c>
      <c r="AP93" s="309">
        <f>IF(VLOOKUP(AP$2,'TIS Site Config'!$A$4:$AQ$51,3,FALSE)&lt;&gt;"Soft",
          IF(
             AND(VLOOKUP(AP$2,'TIS Site Config'!$A$3:$AQ$51,30,FALSE)="Left",
                        OR(VLOOKUP(AP$2,'TIS Site Config'!$A$3:$AQ$51,22,FALSE)="Split",
                                   AND(VLOOKUP(AP$2,'TIS Site Config'!$A$3:$AQ$51,22,FALSE)="Combined",
                                              VLOOKUP(AP$2,'TIS Site Config'!$A$3:$AQ$51,6,FALSE)="Non-heated"))),
                              1,0),0)</f>
        <v>0</v>
      </c>
      <c r="AQ93" s="134">
        <f>IF(VLOOKUP(AQ$2,'TIS Site Config'!$A$4:$AQ$51,3,FALSE)&lt;&gt;"Soft",
          IF(
             AND(VLOOKUP(AQ$2,'TIS Site Config'!$A$3:$AQ$51,30,FALSE)="Left",
                        OR(VLOOKUP(AQ$2,'TIS Site Config'!$A$3:$AQ$51,22,FALSE)="Split",
                                   AND(VLOOKUP(AQ$2,'TIS Site Config'!$A$3:$AQ$51,22,FALSE)="Combined",
                                              VLOOKUP(AQ$2,'TIS Site Config'!$A$3:$AQ$51,6,FALSE)="Non-heated"))),
                              1,0),0)</f>
        <v>0</v>
      </c>
      <c r="AR93" s="134">
        <f>IF(VLOOKUP(AR$2,'TIS Site Config'!$A$4:$AQ$51,3,FALSE)&lt;&gt;"Soft",
          IF(
             AND(VLOOKUP(AR$2,'TIS Site Config'!$A$3:$AQ$51,30,FALSE)="Left",
                        OR(VLOOKUP(AR$2,'TIS Site Config'!$A$3:$AQ$51,22,FALSE)="Split",
                                   AND(VLOOKUP(AR$2,'TIS Site Config'!$A$3:$AQ$51,22,FALSE)="Combined",
                                              VLOOKUP(AR$2,'TIS Site Config'!$A$3:$AQ$51,6,FALSE)="Non-heated"))),
                              1,0),0)</f>
        <v>0</v>
      </c>
      <c r="AS93" s="309">
        <f>IF(VLOOKUP(AS$2,'TIS Site Config'!$A$4:$AQ$51,3,FALSE)&lt;&gt;"Soft",
          IF(
             AND(VLOOKUP(AS$2,'TIS Site Config'!$A$3:$AQ$51,30,FALSE)="Left",
                        OR(VLOOKUP(AS$2,'TIS Site Config'!$A$3:$AQ$51,22,FALSE)="Split",
                                   AND(VLOOKUP(AS$2,'TIS Site Config'!$A$3:$AQ$51,22,FALSE)="Combined",
                                              VLOOKUP(AS$2,'TIS Site Config'!$A$3:$AQ$51,6,FALSE)="Non-heated"))),
                              1,0),0)</f>
        <v>0</v>
      </c>
      <c r="AT93" s="134">
        <f>IF(VLOOKUP(AT$2,'TIS Site Config'!$A$4:$AQ$51,3,FALSE)&lt;&gt;"Soft",
          IF(
             AND(VLOOKUP(AT$2,'TIS Site Config'!$A$3:$AQ$51,30,FALSE)="Left",
                        OR(VLOOKUP(AT$2,'TIS Site Config'!$A$3:$AQ$51,22,FALSE)="Split",
                                   AND(VLOOKUP(AT$2,'TIS Site Config'!$A$3:$AQ$51,22,FALSE)="Combined",
                                              VLOOKUP(AT$2,'TIS Site Config'!$A$3:$AQ$51,6,FALSE)="Non-heated"))),
                              1,0),0)</f>
        <v>0</v>
      </c>
      <c r="AU93" s="309">
        <f>IF(VLOOKUP(AU$2,'TIS Site Config'!$A$4:$AQ$51,3,FALSE)&lt;&gt;"Soft",
          IF(
             AND(VLOOKUP(AU$2,'TIS Site Config'!$A$3:$AQ$51,30,FALSE)="Left",
                        OR(VLOOKUP(AU$2,'TIS Site Config'!$A$3:$AQ$51,22,FALSE)="Split",
                                   AND(VLOOKUP(AU$2,'TIS Site Config'!$A$3:$AQ$51,22,FALSE)="Combined",
                                              VLOOKUP(AU$2,'TIS Site Config'!$A$3:$AQ$51,6,FALSE)="Non-heated"))),
                              1,0),0)</f>
        <v>0</v>
      </c>
      <c r="AV93" s="134">
        <f>IF(VLOOKUP(AV$2,'TIS Site Config'!$A$4:$AQ$51,3,FALSE)&lt;&gt;"Soft",
          IF(
             AND(VLOOKUP(AV$2,'TIS Site Config'!$A$3:$AQ$51,30,FALSE)="Left",
                        OR(VLOOKUP(AV$2,'TIS Site Config'!$A$3:$AQ$51,22,FALSE)="Split",
                                   AND(VLOOKUP(AV$2,'TIS Site Config'!$A$3:$AQ$51,22,FALSE)="Combined",
                                              VLOOKUP(AV$2,'TIS Site Config'!$A$3:$AQ$51,6,FALSE)="Non-heated"))),
                              1,0),0)</f>
        <v>0</v>
      </c>
      <c r="AW93" s="134">
        <f>IF(VLOOKUP(AW$2,'TIS Site Config'!$A$4:$AQ$51,3,FALSE)&lt;&gt;"Soft",
          IF(
             AND(VLOOKUP(AW$2,'TIS Site Config'!$A$3:$AQ$51,30,FALSE)="Left",
                        OR(VLOOKUP(AW$2,'TIS Site Config'!$A$3:$AQ$51,22,FALSE)="Split",
                                   AND(VLOOKUP(AW$2,'TIS Site Config'!$A$3:$AQ$51,22,FALSE)="Combined",
                                              VLOOKUP(AW$2,'TIS Site Config'!$A$3:$AQ$51,6,FALSE)="Non-heated"))),
                              1,0),0)</f>
        <v>0</v>
      </c>
      <c r="AX93" s="212">
        <f>IF(VLOOKUP(AX$2,'TIS Site Config'!$A$4:$AQ$51,3,FALSE)&lt;&gt;"Soft",
          IF(
             AND(VLOOKUP(AX$2,'TIS Site Config'!$A$3:$AQ$51,30,FALSE)="Left",
                        OR(VLOOKUP(AX$2,'TIS Site Config'!$A$3:$AQ$51,22,FALSE)="Split",
                                   AND(VLOOKUP(AX$2,'TIS Site Config'!$A$3:$AQ$51,22,FALSE)="Combined",
                                              VLOOKUP(AX$2,'TIS Site Config'!$A$3:$AQ$51,6,FALSE)="Non-heated"))),
                              1,0),0)</f>
        <v>0</v>
      </c>
      <c r="AY93" s="134">
        <f>IF(VLOOKUP(AY$2,'TIS Site Config'!$A$4:$AQ$51,3,FALSE)&lt;&gt;"Soft",
          IF(
             AND(VLOOKUP(AY$2,'TIS Site Config'!$A$3:$AQ$51,30,FALSE)="Left",
                        OR(VLOOKUP(AY$2,'TIS Site Config'!$A$3:$AQ$51,22,FALSE)="Split",
                                   AND(VLOOKUP(AY$2,'TIS Site Config'!$A$3:$AQ$51,22,FALSE)="Combined",
                                              VLOOKUP(AY$2,'TIS Site Config'!$A$3:$AQ$51,6,FALSE)="Non-heated"))),
                              1,0),0)</f>
        <v>0</v>
      </c>
      <c r="AZ93" s="309">
        <f>IF(VLOOKUP(AZ$2,'TIS Site Config'!$A$4:$AQ$51,3,FALSE)&lt;&gt;"Soft",
          IF(
             AND(VLOOKUP(AZ$2,'TIS Site Config'!$A$3:$AQ$51,30,FALSE)="Left",
                        OR(VLOOKUP(AZ$2,'TIS Site Config'!$A$3:$AQ$51,22,FALSE)="Split",
                                   AND(VLOOKUP(AZ$2,'TIS Site Config'!$A$3:$AQ$51,22,FALSE)="Combined",
                                              VLOOKUP(AZ$2,'TIS Site Config'!$A$3:$AQ$51,6,FALSE)="Non-heated"))),
                              1,0),0)</f>
        <v>0</v>
      </c>
      <c r="BA93" s="213">
        <f>IF(VLOOKUP(BA$2,'TIS Site Config'!$A$4:$AQ$51,3,FALSE)&lt;&gt;"Soft",
          IF(
             AND(VLOOKUP(BA$2,'TIS Site Config'!$A$3:$AQ$51,30,FALSE)="Left",
                        OR(VLOOKUP(BA$2,'TIS Site Config'!$A$3:$AQ$51,22,FALSE)="Split",
                                   AND(VLOOKUP(BA$2,'TIS Site Config'!$A$3:$AQ$51,22,FALSE)="Combined",
                                              VLOOKUP(BA$2,'TIS Site Config'!$A$3:$AQ$51,6,FALSE)="Non-heated"))),
                              1,0),0)</f>
        <v>0</v>
      </c>
      <c r="BB93" s="134">
        <f>IF(VLOOKUP(BB$2,'TIS Site Config'!$A$4:$AQ$51,3,FALSE)&lt;&gt;"Soft",
          IF(
             AND(VLOOKUP(BB$2,'TIS Site Config'!$A$3:$AQ$51,30,FALSE)="Left",
                        OR(VLOOKUP(BB$2,'TIS Site Config'!$A$3:$AQ$51,22,FALSE)="Split",
                                   AND(VLOOKUP(BB$2,'TIS Site Config'!$A$3:$AQ$51,22,FALSE)="Combined",
                                              VLOOKUP(BB$2,'TIS Site Config'!$A$3:$AQ$51,6,FALSE)="Non-heated"))),
                              1,0),0)</f>
        <v>0</v>
      </c>
      <c r="BC93" s="212">
        <f>IF(VLOOKUP(BC$2,'TIS Site Config'!$A$4:$AQ$51,3,FALSE)&lt;&gt;"Soft",
          IF(
             AND(VLOOKUP(BC$2,'TIS Site Config'!$A$3:$AQ$51,30,FALSE)="Left",
                        OR(VLOOKUP(BC$2,'TIS Site Config'!$A$3:$AQ$51,22,FALSE)="Split",
                                   AND(VLOOKUP(BC$2,'TIS Site Config'!$A$3:$AQ$51,22,FALSE)="Combined",
                                              VLOOKUP(BC$2,'TIS Site Config'!$A$3:$AQ$51,6,FALSE)="Non-heated"))),
                              1,0),0)</f>
        <v>0</v>
      </c>
      <c r="BD93" s="134">
        <f>IF(VLOOKUP(BD$2,'TIS Site Config'!$A$4:$AQ$51,3,FALSE)&lt;&gt;"Soft",
          IF(
             AND(VLOOKUP(BD$2,'TIS Site Config'!$A$3:$AQ$51,30,FALSE)="Left",
                        OR(VLOOKUP(BD$2,'TIS Site Config'!$A$3:$AQ$51,22,FALSE)="Split",
                                   AND(VLOOKUP(BD$2,'TIS Site Config'!$A$3:$AQ$51,22,FALSE)="Combined",
                                              VLOOKUP(BD$2,'TIS Site Config'!$A$3:$AQ$51,6,FALSE)="Non-heated"))),
                              1,0),0)</f>
        <v>0</v>
      </c>
      <c r="BE93" s="309">
        <f>IF(VLOOKUP(BE$2,'TIS Site Config'!$A$4:$AQ$51,3,FALSE)&lt;&gt;"Soft",
          IF(
             AND(VLOOKUP(BE$2,'TIS Site Config'!$A$3:$AQ$51,30,FALSE)="Left",
                        OR(VLOOKUP(BE$2,'TIS Site Config'!$A$3:$AQ$51,22,FALSE)="Split",
                                   AND(VLOOKUP(BE$2,'TIS Site Config'!$A$3:$AQ$51,22,FALSE)="Combined",
                                              VLOOKUP(BE$2,'TIS Site Config'!$A$3:$AQ$51,6,FALSE)="Non-heated"))),
                              1,0),0)</f>
        <v>0</v>
      </c>
      <c r="BF93" s="212">
        <f>IF(VLOOKUP(BF$2,'TIS Site Config'!$A$4:$AQ$51,3,FALSE)&lt;&gt;"Soft",
          IF(
             AND(VLOOKUP(BF$2,'TIS Site Config'!$A$3:$AQ$51,30,FALSE)="Left",
                        OR(VLOOKUP(BF$2,'TIS Site Config'!$A$3:$AQ$51,22,FALSE)="Split",
                                   AND(VLOOKUP(BF$2,'TIS Site Config'!$A$3:$AQ$51,22,FALSE)="Combined",
                                              VLOOKUP(BF$2,'TIS Site Config'!$A$3:$AQ$51,6,FALSE)="Non-heated"))),
                              1,0),0)</f>
        <v>0</v>
      </c>
      <c r="BG93" s="60">
        <f>IF(VLOOKUP(BG$2,'TIS Site Config'!$A$4:$AQ$51,3,FALSE)&lt;&gt;"Soft",
          IF(
             AND(VLOOKUP(BG$2,'TIS Site Config'!$A$3:$AQ$51,30,FALSE)="Left",
                        OR(VLOOKUP(BG$2,'TIS Site Config'!$A$3:$AQ$51,22,FALSE)="Split",
                                   AND(VLOOKUP(BG$2,'TIS Site Config'!$A$3:$AQ$51,22,FALSE)="Combined",
                                              VLOOKUP(BG$2,'TIS Site Config'!$A$3:$AQ$51,6,FALSE)="Non-heated"))),
                              1,0),0)</f>
        <v>0</v>
      </c>
      <c r="BH93" s="60">
        <f>IF(VLOOKUP(BH$2,'TIS Site Config'!$A$4:$AQ$51,3,FALSE)&lt;&gt;"Soft",
          IF(
             AND(VLOOKUP(BH$2,'TIS Site Config'!$A$3:$AQ$51,30,FALSE)="Left",
                        OR(VLOOKUP(BH$2,'TIS Site Config'!$A$3:$AQ$51,22,FALSE)="Split",
                                   AND(VLOOKUP(BH$2,'TIS Site Config'!$A$3:$AQ$51,22,FALSE)="Combined",
                                              VLOOKUP(BH$2,'TIS Site Config'!$A$3:$AQ$51,6,FALSE)="Non-heated"))),
                              1,0),0)</f>
        <v>0</v>
      </c>
      <c r="BK93" s="10">
        <v>5</v>
      </c>
      <c r="BL93" s="950" t="b">
        <f t="shared" si="6"/>
        <v>0</v>
      </c>
      <c r="BO93" s="950"/>
    </row>
    <row r="94" spans="1:67" s="10" customFormat="1" ht="15.75" thickBot="1" x14ac:dyDescent="0.3">
      <c r="A94" s="1366"/>
      <c r="B94" s="1334"/>
      <c r="C94" s="67" t="s">
        <v>338</v>
      </c>
      <c r="D94" s="92">
        <v>2</v>
      </c>
      <c r="E94" s="110" t="s">
        <v>337</v>
      </c>
      <c r="F94" s="68">
        <f t="shared" si="5"/>
        <v>8</v>
      </c>
      <c r="G94" s="444"/>
      <c r="H94" s="445">
        <v>1</v>
      </c>
      <c r="I94" s="445">
        <v>1</v>
      </c>
      <c r="J94" s="445"/>
      <c r="K94" s="446"/>
      <c r="L94" s="489"/>
      <c r="M94" s="142">
        <f>IF(VLOOKUP(M$2,'TIS Site Config'!$A$4:$AQ$51,3,FALSE)&lt;&gt;"Soft",
          IF(
             AND(VLOOKUP(M$2,'TIS Site Config'!$A$3:$AQ$51,30,FALSE)="Left",
                        VLOOKUP(M$2,'TIS Site Config'!$A$3:$AQ$51,22,FALSE)="Combined",
                        OR(VLOOKUP(M$2,'TIS Site Config'!$A$3:$AQ$51,6,FALSE)="Heated",
                               VLOOKUP(M$2,'TIS Site Config'!$A$3:$AQ$51,6,FALSE)="Heated")),
                              1,0),0)</f>
        <v>0</v>
      </c>
      <c r="N94" s="258">
        <f>IF(VLOOKUP(N$2,'TIS Site Config'!$A$4:$AQ$51,3,FALSE)&lt;&gt;"Soft",
          IF(
             AND(VLOOKUP(N$2,'TIS Site Config'!$A$3:$AQ$51,30,FALSE)="Left",
                        VLOOKUP(N$2,'TIS Site Config'!$A$3:$AQ$51,22,FALSE)="Combined",
                        OR(VLOOKUP(N$2,'TIS Site Config'!$A$3:$AQ$51,6,FALSE)="Heated",
                               VLOOKUP(N$2,'TIS Site Config'!$A$3:$AQ$51,6,FALSE)="Heated")),
                              1,0),0)</f>
        <v>0</v>
      </c>
      <c r="O94" s="261">
        <f>IF(VLOOKUP(O$2,'TIS Site Config'!$A$4:$AQ$51,3,FALSE)&lt;&gt;"Soft",
          IF(
             AND(VLOOKUP(O$2,'TIS Site Config'!$A$3:$AQ$51,30,FALSE)="Left",
                        VLOOKUP(O$2,'TIS Site Config'!$A$3:$AQ$51,22,FALSE)="Combined",
                        OR(VLOOKUP(O$2,'TIS Site Config'!$A$3:$AQ$51,6,FALSE)="Heated",
                               VLOOKUP(O$2,'TIS Site Config'!$A$3:$AQ$51,6,FALSE)="Heated")),
                              1,0),0)</f>
        <v>0</v>
      </c>
      <c r="P94" s="257">
        <f>IF(VLOOKUP(P$2,'TIS Site Config'!$A$4:$AQ$51,3,FALSE)&lt;&gt;"Soft",
          IF(
             AND(VLOOKUP(P$2,'TIS Site Config'!$A$3:$AQ$51,30,FALSE)="Left",
                        VLOOKUP(P$2,'TIS Site Config'!$A$3:$AQ$51,22,FALSE)="Combined",
                        OR(VLOOKUP(P$2,'TIS Site Config'!$A$3:$AQ$51,6,FALSE)="Heated",
                               VLOOKUP(P$2,'TIS Site Config'!$A$3:$AQ$51,6,FALSE)="Heated")),
                              1,0),0)</f>
        <v>0</v>
      </c>
      <c r="Q94" s="258">
        <f>IF(VLOOKUP(Q$2,'TIS Site Config'!$A$4:$AQ$51,3,FALSE)&lt;&gt;"Soft",
          IF(
             AND(VLOOKUP(Q$2,'TIS Site Config'!$A$3:$AQ$51,30,FALSE)="Left",
                        VLOOKUP(Q$2,'TIS Site Config'!$A$3:$AQ$51,22,FALSE)="Combined",
                        OR(VLOOKUP(Q$2,'TIS Site Config'!$A$3:$AQ$51,6,FALSE)="Heated",
                               VLOOKUP(Q$2,'TIS Site Config'!$A$3:$AQ$51,6,FALSE)="Heated")),
                              1,0),0)</f>
        <v>0</v>
      </c>
      <c r="R94" s="142">
        <f>IF(VLOOKUP(R$2,'TIS Site Config'!$A$4:$AQ$51,3,FALSE)&lt;&gt;"Soft",
          IF(
             AND(VLOOKUP(R$2,'TIS Site Config'!$A$3:$AQ$51,30,FALSE)="Left",
                        VLOOKUP(R$2,'TIS Site Config'!$A$3:$AQ$51,22,FALSE)="Combined",
                        OR(VLOOKUP(R$2,'TIS Site Config'!$A$3:$AQ$51,6,FALSE)="Heated",
                               VLOOKUP(R$2,'TIS Site Config'!$A$3:$AQ$51,6,FALSE)="Heated")),
                              1,0),0)</f>
        <v>0</v>
      </c>
      <c r="S94" s="257">
        <f>IF(VLOOKUP(S$2,'TIS Site Config'!$A$4:$AQ$51,3,FALSE)&lt;&gt;"Soft",
          IF(
             AND(VLOOKUP(S$2,'TIS Site Config'!$A$3:$AQ$51,30,FALSE)="Left",
                        VLOOKUP(S$2,'TIS Site Config'!$A$3:$AQ$51,22,FALSE)="Combined",
                        OR(VLOOKUP(S$2,'TIS Site Config'!$A$3:$AQ$51,6,FALSE)="Heated",
                               VLOOKUP(S$2,'TIS Site Config'!$A$3:$AQ$51,6,FALSE)="Heated")),
                              1,0),0)</f>
        <v>0</v>
      </c>
      <c r="T94" s="258">
        <f>IF(VLOOKUP(T$2,'TIS Site Config'!$A$4:$AQ$51,3,FALSE)&lt;&gt;"Soft",
          IF(
             AND(VLOOKUP(T$2,'TIS Site Config'!$A$3:$AQ$51,30,FALSE)="Left",
                        VLOOKUP(T$2,'TIS Site Config'!$A$3:$AQ$51,22,FALSE)="Combined",
                        OR(VLOOKUP(T$2,'TIS Site Config'!$A$3:$AQ$51,6,FALSE)="Heated",
                               VLOOKUP(T$2,'TIS Site Config'!$A$3:$AQ$51,6,FALSE)="Heated")),
                              1,0),0)</f>
        <v>0</v>
      </c>
      <c r="U94" s="142">
        <f>IF(VLOOKUP(U$2,'TIS Site Config'!$A$4:$AQ$51,3,FALSE)&lt;&gt;"Soft",
          IF(
             AND(VLOOKUP(U$2,'TIS Site Config'!$A$3:$AQ$51,30,FALSE)="Left",
                        VLOOKUP(U$2,'TIS Site Config'!$A$3:$AQ$51,22,FALSE)="Combined",
                        OR(VLOOKUP(U$2,'TIS Site Config'!$A$3:$AQ$51,6,FALSE)="Heated",
                               VLOOKUP(U$2,'TIS Site Config'!$A$3:$AQ$51,6,FALSE)="Heated")),
                              1,0),0)</f>
        <v>0</v>
      </c>
      <c r="V94" s="258">
        <f>IF(VLOOKUP(V$2,'TIS Site Config'!$A$4:$AQ$51,3,FALSE)&lt;&gt;"Soft",
          IF(
             AND(VLOOKUP(V$2,'TIS Site Config'!$A$3:$AQ$51,30,FALSE)="Left",
                        VLOOKUP(V$2,'TIS Site Config'!$A$3:$AQ$51,22,FALSE)="Combined",
                        OR(VLOOKUP(V$2,'TIS Site Config'!$A$3:$AQ$51,6,FALSE)="Heated",
                               VLOOKUP(V$2,'TIS Site Config'!$A$3:$AQ$51,6,FALSE)="Heated")),
                              1,0),0)</f>
        <v>0</v>
      </c>
      <c r="W94" s="260">
        <f>IF(VLOOKUP(W$2,'TIS Site Config'!$A$4:$AQ$51,3,FALSE)&lt;&gt;"Soft",
          IF(
             AND(VLOOKUP(W$2,'TIS Site Config'!$A$3:$AQ$51,30,FALSE)="Left",
                        VLOOKUP(W$2,'TIS Site Config'!$A$3:$AQ$51,22,FALSE)="Combined",
                        OR(VLOOKUP(W$2,'TIS Site Config'!$A$3:$AQ$51,6,FALSE)="Heated",
                               VLOOKUP(W$2,'TIS Site Config'!$A$3:$AQ$51,6,FALSE)="Heated")),
                              1,0),0)</f>
        <v>1</v>
      </c>
      <c r="X94" s="257">
        <f>IF(VLOOKUP(X$2,'TIS Site Config'!$A$4:$AQ$51,3,FALSE)&lt;&gt;"Soft",
          IF(
             AND(VLOOKUP(X$2,'TIS Site Config'!$A$3:$AQ$51,30,FALSE)="Left",
                        VLOOKUP(X$2,'TIS Site Config'!$A$3:$AQ$51,22,FALSE)="Combined",
                        OR(VLOOKUP(X$2,'TIS Site Config'!$A$3:$AQ$51,6,FALSE)="Heated",
                               VLOOKUP(X$2,'TIS Site Config'!$A$3:$AQ$51,6,FALSE)="Heated")),
                              1,0),0)</f>
        <v>0</v>
      </c>
      <c r="Y94" s="258">
        <f>IF(VLOOKUP(Y$2,'TIS Site Config'!$A$4:$AQ$51,3,FALSE)&lt;&gt;"Soft",
          IF(
             AND(VLOOKUP(Y$2,'TIS Site Config'!$A$3:$AQ$51,30,FALSE)="Left",
                        VLOOKUP(Y$2,'TIS Site Config'!$A$3:$AQ$51,22,FALSE)="Combined",
                        OR(VLOOKUP(Y$2,'TIS Site Config'!$A$3:$AQ$51,6,FALSE)="Heated",
                               VLOOKUP(Y$2,'TIS Site Config'!$A$3:$AQ$51,6,FALSE)="Heated")),
                              1,0),0)</f>
        <v>0</v>
      </c>
      <c r="Z94" s="142">
        <f>IF(VLOOKUP(Z$2,'TIS Site Config'!$A$4:$AQ$51,3,FALSE)&lt;&gt;"Soft",
          IF(
             AND(VLOOKUP(Z$2,'TIS Site Config'!$A$3:$AQ$51,30,FALSE)="Left",
                        VLOOKUP(Z$2,'TIS Site Config'!$A$3:$AQ$51,22,FALSE)="Combined",
                        OR(VLOOKUP(Z$2,'TIS Site Config'!$A$3:$AQ$51,6,FALSE)="Heated",
                               VLOOKUP(Z$2,'TIS Site Config'!$A$3:$AQ$51,6,FALSE)="Heated")),
                              1,0),0)</f>
        <v>0</v>
      </c>
      <c r="AA94" s="257">
        <f>IF(VLOOKUP(AA$2,'TIS Site Config'!$A$4:$AQ$51,3,FALSE)&lt;&gt;"Soft",
          IF(
             AND(VLOOKUP(AA$2,'TIS Site Config'!$A$3:$AQ$51,30,FALSE)="Left",
                        VLOOKUP(AA$2,'TIS Site Config'!$A$3:$AQ$51,22,FALSE)="Combined",
                        OR(VLOOKUP(AA$2,'TIS Site Config'!$A$3:$AQ$51,6,FALSE)="Heated",
                               VLOOKUP(AA$2,'TIS Site Config'!$A$3:$AQ$51,6,FALSE)="Heated")),
                              1,0),0)</f>
        <v>0</v>
      </c>
      <c r="AB94" s="258">
        <f>IF(VLOOKUP(AB$2,'TIS Site Config'!$A$4:$AQ$51,3,FALSE)&lt;&gt;"Soft",
          IF(
             AND(VLOOKUP(AB$2,'TIS Site Config'!$A$3:$AQ$51,30,FALSE)="Left",
                        VLOOKUP(AB$2,'TIS Site Config'!$A$3:$AQ$51,22,FALSE)="Combined",
                        OR(VLOOKUP(AB$2,'TIS Site Config'!$A$3:$AQ$51,6,FALSE)="Heated",
                               VLOOKUP(AB$2,'TIS Site Config'!$A$3:$AQ$51,6,FALSE)="Heated")),
                              1,0),0)</f>
        <v>0</v>
      </c>
      <c r="AC94" s="257">
        <f>IF(VLOOKUP(AC$2,'TIS Site Config'!$A$4:$AQ$51,3,FALSE)&lt;&gt;"Soft",
          IF(
             AND(VLOOKUP(AC$2,'TIS Site Config'!$A$3:$AQ$51,30,FALSE)="Left",
                        VLOOKUP(AC$2,'TIS Site Config'!$A$3:$AQ$51,22,FALSE)="Combined",
                        OR(VLOOKUP(AC$2,'TIS Site Config'!$A$3:$AQ$51,6,FALSE)="Heated",
                               VLOOKUP(AC$2,'TIS Site Config'!$A$3:$AQ$51,6,FALSE)="Heated")),
                              1,0),0)</f>
        <v>0</v>
      </c>
      <c r="AD94" s="259">
        <f>IF(VLOOKUP(AD$2,'TIS Site Config'!$A$4:$AQ$51,3,FALSE)&lt;&gt;"Soft",
          IF(
             AND(VLOOKUP(AD$2,'TIS Site Config'!$A$3:$AQ$51,30,FALSE)="Left",
                        VLOOKUP(AD$2,'TIS Site Config'!$A$3:$AQ$51,22,FALSE)="Combined",
                        OR(VLOOKUP(AD$2,'TIS Site Config'!$A$3:$AQ$51,6,FALSE)="Heated",
                               VLOOKUP(AD$2,'TIS Site Config'!$A$3:$AQ$51,6,FALSE)="Heated")),
                              1,0),0)</f>
        <v>1</v>
      </c>
      <c r="AE94" s="259">
        <f>IF(VLOOKUP(AE$2,'TIS Site Config'!$A$4:$AQ$51,3,FALSE)&lt;&gt;"Soft",
          IF(
             AND(VLOOKUP(AE$2,'TIS Site Config'!$A$3:$AQ$51,30,FALSE)="Left",
                        VLOOKUP(AE$2,'TIS Site Config'!$A$3:$AQ$51,22,FALSE)="Combined",
                        OR(VLOOKUP(AE$2,'TIS Site Config'!$A$3:$AQ$51,6,FALSE)="Heated",
                               VLOOKUP(AE$2,'TIS Site Config'!$A$3:$AQ$51,6,FALSE)="Heated")),
                              1,0),0)</f>
        <v>1</v>
      </c>
      <c r="AF94" s="1001">
        <f>IF(VLOOKUP(AF$2,'TIS Site Config'!$A$4:$AQ$51,3,FALSE)&lt;&gt;"Soft",
          IF(
             AND(VLOOKUP(AF$2,'TIS Site Config'!$A$3:$AQ$51,30,FALSE)="Left",
                        VLOOKUP(AF$2,'TIS Site Config'!$A$3:$AQ$51,22,FALSE)="Combined",
                        OR(VLOOKUP(AF$2,'TIS Site Config'!$A$3:$AQ$51,6,FALSE)="Heated",
                               VLOOKUP(AF$2,'TIS Site Config'!$A$3:$AQ$51,6,FALSE)="Heated")),
                              1,0),0)</f>
        <v>0</v>
      </c>
      <c r="AG94" s="257">
        <f>IF(VLOOKUP(AG$2,'TIS Site Config'!$A$4:$AQ$51,3,FALSE)&lt;&gt;"Soft",
          IF(
             AND(VLOOKUP(AG$2,'TIS Site Config'!$A$3:$AQ$51,30,FALSE)="Left",
                        VLOOKUP(AG$2,'TIS Site Config'!$A$3:$AQ$51,22,FALSE)="Combined",
                        OR(VLOOKUP(AG$2,'TIS Site Config'!$A$3:$AQ$51,6,FALSE)="Heated",
                               VLOOKUP(AG$2,'TIS Site Config'!$A$3:$AQ$51,6,FALSE)="Heated")),
                              1,0),0)</f>
        <v>0</v>
      </c>
      <c r="AH94" s="258">
        <f>IF(VLOOKUP(AH$2,'TIS Site Config'!$A$4:$AQ$51,3,FALSE)&lt;&gt;"Soft",
          IF(
             AND(VLOOKUP(AH$2,'TIS Site Config'!$A$3:$AQ$51,30,FALSE)="Left",
                        VLOOKUP(AH$2,'TIS Site Config'!$A$3:$AQ$51,22,FALSE)="Combined",
                        OR(VLOOKUP(AH$2,'TIS Site Config'!$A$3:$AQ$51,6,FALSE)="Heated",
                               VLOOKUP(AH$2,'TIS Site Config'!$A$3:$AQ$51,6,FALSE)="Heated")),
                              1,0),0)</f>
        <v>0</v>
      </c>
      <c r="AI94" s="142">
        <f>IF(VLOOKUP(AI$2,'TIS Site Config'!$A$4:$AQ$51,3,FALSE)&lt;&gt;"Soft",
          IF(
             AND(VLOOKUP(AI$2,'TIS Site Config'!$A$3:$AQ$51,30,FALSE)="Left",
                        VLOOKUP(AI$2,'TIS Site Config'!$A$3:$AQ$51,22,FALSE)="Combined",
                        OR(VLOOKUP(AI$2,'TIS Site Config'!$A$3:$AQ$51,6,FALSE)="Heated",
                               VLOOKUP(AI$2,'TIS Site Config'!$A$3:$AQ$51,6,FALSE)="Heated")),
                              1,0),0)</f>
        <v>0</v>
      </c>
      <c r="AJ94" s="257">
        <f>IF(VLOOKUP(AJ$2,'TIS Site Config'!$A$4:$AQ$51,3,FALSE)&lt;&gt;"Soft",
          IF(
             AND(VLOOKUP(AJ$2,'TIS Site Config'!$A$3:$AQ$51,30,FALSE)="Left",
                        VLOOKUP(AJ$2,'TIS Site Config'!$A$3:$AQ$51,22,FALSE)="Combined",
                        OR(VLOOKUP(AJ$2,'TIS Site Config'!$A$3:$AQ$51,6,FALSE)="Heated",
                               VLOOKUP(AJ$2,'TIS Site Config'!$A$3:$AQ$51,6,FALSE)="Heated")),
                              1,0),0)</f>
        <v>0</v>
      </c>
      <c r="AK94" s="258">
        <f>IF(VLOOKUP(AK$2,'TIS Site Config'!$A$4:$AQ$51,3,FALSE)&lt;&gt;"Soft",
          IF(
             AND(VLOOKUP(AK$2,'TIS Site Config'!$A$3:$AQ$51,30,FALSE)="Left",
                        VLOOKUP(AK$2,'TIS Site Config'!$A$3:$AQ$51,22,FALSE)="Combined",
                        OR(VLOOKUP(AK$2,'TIS Site Config'!$A$3:$AQ$51,6,FALSE)="Heated",
                               VLOOKUP(AK$2,'TIS Site Config'!$A$3:$AQ$51,6,FALSE)="Heated")),
                              1,0),0)</f>
        <v>0</v>
      </c>
      <c r="AL94" s="142">
        <f>IF(VLOOKUP(AL$2,'TIS Site Config'!$A$4:$AQ$51,3,FALSE)&lt;&gt;"Soft",
          IF(
             AND(VLOOKUP(AL$2,'TIS Site Config'!$A$3:$AQ$51,30,FALSE)="Left",
                        VLOOKUP(AL$2,'TIS Site Config'!$A$3:$AQ$51,22,FALSE)="Combined",
                        OR(VLOOKUP(AL$2,'TIS Site Config'!$A$3:$AQ$51,6,FALSE)="Heated",
                               VLOOKUP(AL$2,'TIS Site Config'!$A$3:$AQ$51,6,FALSE)="Heated")),
                              1,0),0)</f>
        <v>0</v>
      </c>
      <c r="AM94" s="257">
        <f>IF(VLOOKUP(AM$2,'TIS Site Config'!$A$4:$AQ$51,3,FALSE)&lt;&gt;"Soft",
          IF(
             AND(VLOOKUP(AM$2,'TIS Site Config'!$A$3:$AQ$51,30,FALSE)="Left",
                        VLOOKUP(AM$2,'TIS Site Config'!$A$3:$AQ$51,22,FALSE)="Combined",
                        OR(VLOOKUP(AM$2,'TIS Site Config'!$A$3:$AQ$51,6,FALSE)="Heated",
                               VLOOKUP(AM$2,'TIS Site Config'!$A$3:$AQ$51,6,FALSE)="Heated")),
                              1,0),0)</f>
        <v>0</v>
      </c>
      <c r="AN94" s="258">
        <f>IF(VLOOKUP(AN$2,'TIS Site Config'!$A$4:$AQ$51,3,FALSE)&lt;&gt;"Soft",
          IF(
             AND(VLOOKUP(AN$2,'TIS Site Config'!$A$3:$AQ$51,30,FALSE)="Left",
                        VLOOKUP(AN$2,'TIS Site Config'!$A$3:$AQ$51,22,FALSE)="Combined",
                        OR(VLOOKUP(AN$2,'TIS Site Config'!$A$3:$AQ$51,6,FALSE)="Heated",
                               VLOOKUP(AN$2,'TIS Site Config'!$A$3:$AQ$51,6,FALSE)="Heated")),
                              1,0),0)</f>
        <v>0</v>
      </c>
      <c r="AO94" s="142">
        <f>IF(VLOOKUP(AO$2,'TIS Site Config'!$A$4:$AQ$51,3,FALSE)&lt;&gt;"Soft",
          IF(
             AND(VLOOKUP(AO$2,'TIS Site Config'!$A$3:$AQ$51,30,FALSE)="Left",
                        VLOOKUP(AO$2,'TIS Site Config'!$A$3:$AQ$51,22,FALSE)="Combined",
                        OR(VLOOKUP(AO$2,'TIS Site Config'!$A$3:$AQ$51,6,FALSE)="Heated",
                               VLOOKUP(AO$2,'TIS Site Config'!$A$3:$AQ$51,6,FALSE)="Heated")),
                              1,0),0)</f>
        <v>0</v>
      </c>
      <c r="AP94" s="257">
        <f>IF(VLOOKUP(AP$2,'TIS Site Config'!$A$4:$AQ$51,3,FALSE)&lt;&gt;"Soft",
          IF(
             AND(VLOOKUP(AP$2,'TIS Site Config'!$A$3:$AQ$51,30,FALSE)="Left",
                        VLOOKUP(AP$2,'TIS Site Config'!$A$3:$AQ$51,22,FALSE)="Combined",
                        OR(VLOOKUP(AP$2,'TIS Site Config'!$A$3:$AQ$51,6,FALSE)="Heated",
                               VLOOKUP(AP$2,'TIS Site Config'!$A$3:$AQ$51,6,FALSE)="Heated")),
                              1,0),0)</f>
        <v>1</v>
      </c>
      <c r="AQ94" s="142">
        <f>IF(VLOOKUP(AQ$2,'TIS Site Config'!$A$4:$AQ$51,3,FALSE)&lt;&gt;"Soft",
          IF(
             AND(VLOOKUP(AQ$2,'TIS Site Config'!$A$3:$AQ$51,30,FALSE)="Left",
                        VLOOKUP(AQ$2,'TIS Site Config'!$A$3:$AQ$51,22,FALSE)="Combined",
                        OR(VLOOKUP(AQ$2,'TIS Site Config'!$A$3:$AQ$51,6,FALSE)="Heated",
                               VLOOKUP(AQ$2,'TIS Site Config'!$A$3:$AQ$51,6,FALSE)="Heated")),
                              1,0),0)</f>
        <v>1</v>
      </c>
      <c r="AR94" s="142">
        <f>IF(VLOOKUP(AR$2,'TIS Site Config'!$A$4:$AQ$51,3,FALSE)&lt;&gt;"Soft",
          IF(
             AND(VLOOKUP(AR$2,'TIS Site Config'!$A$3:$AQ$51,30,FALSE)="Left",
                        VLOOKUP(AR$2,'TIS Site Config'!$A$3:$AQ$51,22,FALSE)="Combined",
                        OR(VLOOKUP(AR$2,'TIS Site Config'!$A$3:$AQ$51,6,FALSE)="Heated",
                               VLOOKUP(AR$2,'TIS Site Config'!$A$3:$AQ$51,6,FALSE)="Heated")),
                              1,0),0)</f>
        <v>0</v>
      </c>
      <c r="AS94" s="257">
        <f>IF(VLOOKUP(AS$2,'TIS Site Config'!$A$4:$AQ$51,3,FALSE)&lt;&gt;"Soft",
          IF(
             AND(VLOOKUP(AS$2,'TIS Site Config'!$A$3:$AQ$51,30,FALSE)="Left",
                        VLOOKUP(AS$2,'TIS Site Config'!$A$3:$AQ$51,22,FALSE)="Combined",
                        OR(VLOOKUP(AS$2,'TIS Site Config'!$A$3:$AQ$51,6,FALSE)="Heated",
                               VLOOKUP(AS$2,'TIS Site Config'!$A$3:$AQ$51,6,FALSE)="Heated")),
                              1,0),0)</f>
        <v>0</v>
      </c>
      <c r="AT94" s="142">
        <f>IF(VLOOKUP(AT$2,'TIS Site Config'!$A$4:$AQ$51,3,FALSE)&lt;&gt;"Soft",
          IF(
             AND(VLOOKUP(AT$2,'TIS Site Config'!$A$3:$AQ$51,30,FALSE)="Left",
                        VLOOKUP(AT$2,'TIS Site Config'!$A$3:$AQ$51,22,FALSE)="Combined",
                        OR(VLOOKUP(AT$2,'TIS Site Config'!$A$3:$AQ$51,6,FALSE)="Heated",
                               VLOOKUP(AT$2,'TIS Site Config'!$A$3:$AQ$51,6,FALSE)="Heated")),
                              1,0),0)</f>
        <v>0</v>
      </c>
      <c r="AU94" s="257">
        <f>IF(VLOOKUP(AU$2,'TIS Site Config'!$A$4:$AQ$51,3,FALSE)&lt;&gt;"Soft",
          IF(
             AND(VLOOKUP(AU$2,'TIS Site Config'!$A$3:$AQ$51,30,FALSE)="Left",
                        VLOOKUP(AU$2,'TIS Site Config'!$A$3:$AQ$51,22,FALSE)="Combined",
                        OR(VLOOKUP(AU$2,'TIS Site Config'!$A$3:$AQ$51,6,FALSE)="Heated",
                               VLOOKUP(AU$2,'TIS Site Config'!$A$3:$AQ$51,6,FALSE)="Heated")),
                              1,0),0)</f>
        <v>0</v>
      </c>
      <c r="AV94" s="142">
        <f>IF(VLOOKUP(AV$2,'TIS Site Config'!$A$4:$AQ$51,3,FALSE)&lt;&gt;"Soft",
          IF(
             AND(VLOOKUP(AV$2,'TIS Site Config'!$A$3:$AQ$51,30,FALSE)="Left",
                        VLOOKUP(AV$2,'TIS Site Config'!$A$3:$AQ$51,22,FALSE)="Combined",
                        OR(VLOOKUP(AV$2,'TIS Site Config'!$A$3:$AQ$51,6,FALSE)="Heated",
                               VLOOKUP(AV$2,'TIS Site Config'!$A$3:$AQ$51,6,FALSE)="Heated")),
                              1,0),0)</f>
        <v>1</v>
      </c>
      <c r="AW94" s="142">
        <f>IF(VLOOKUP(AW$2,'TIS Site Config'!$A$4:$AQ$51,3,FALSE)&lt;&gt;"Soft",
          IF(
             AND(VLOOKUP(AW$2,'TIS Site Config'!$A$3:$AQ$51,30,FALSE)="Left",
                        VLOOKUP(AW$2,'TIS Site Config'!$A$3:$AQ$51,22,FALSE)="Combined",
                        OR(VLOOKUP(AW$2,'TIS Site Config'!$A$3:$AQ$51,6,FALSE)="Heated",
                               VLOOKUP(AW$2,'TIS Site Config'!$A$3:$AQ$51,6,FALSE)="Heated")),
                              1,0),0)</f>
        <v>0</v>
      </c>
      <c r="AX94" s="258">
        <f>IF(VLOOKUP(AX$2,'TIS Site Config'!$A$4:$AQ$51,3,FALSE)&lt;&gt;"Soft",
          IF(
             AND(VLOOKUP(AX$2,'TIS Site Config'!$A$3:$AQ$51,30,FALSE)="Left",
                        VLOOKUP(AX$2,'TIS Site Config'!$A$3:$AQ$51,22,FALSE)="Combined",
                        OR(VLOOKUP(AX$2,'TIS Site Config'!$A$3:$AQ$51,6,FALSE)="Heated",
                               VLOOKUP(AX$2,'TIS Site Config'!$A$3:$AQ$51,6,FALSE)="Heated")),
                              1,0),0)</f>
        <v>0</v>
      </c>
      <c r="AY94" s="142">
        <f>IF(VLOOKUP(AY$2,'TIS Site Config'!$A$4:$AQ$51,3,FALSE)&lt;&gt;"Soft",
          IF(
             AND(VLOOKUP(AY$2,'TIS Site Config'!$A$3:$AQ$51,30,FALSE)="Left",
                        VLOOKUP(AY$2,'TIS Site Config'!$A$3:$AQ$51,22,FALSE)="Combined",
                        OR(VLOOKUP(AY$2,'TIS Site Config'!$A$3:$AQ$51,6,FALSE)="Heated",
                               VLOOKUP(AY$2,'TIS Site Config'!$A$3:$AQ$51,6,FALSE)="Heated")),
                              1,0),0)</f>
        <v>1</v>
      </c>
      <c r="AZ94" s="257">
        <f>IF(VLOOKUP(AZ$2,'TIS Site Config'!$A$4:$AQ$51,3,FALSE)&lt;&gt;"Soft",
          IF(
             AND(VLOOKUP(AZ$2,'TIS Site Config'!$A$3:$AQ$51,30,FALSE)="Left",
                        VLOOKUP(AZ$2,'TIS Site Config'!$A$3:$AQ$51,22,FALSE)="Combined",
                        OR(VLOOKUP(AZ$2,'TIS Site Config'!$A$3:$AQ$51,6,FALSE)="Heated",
                               VLOOKUP(AZ$2,'TIS Site Config'!$A$3:$AQ$51,6,FALSE)="Heated")),
                              1,0),0)</f>
        <v>1</v>
      </c>
      <c r="BA94" s="259">
        <f>IF(VLOOKUP(BA$2,'TIS Site Config'!$A$4:$AQ$51,3,FALSE)&lt;&gt;"Soft",
          IF(
             AND(VLOOKUP(BA$2,'TIS Site Config'!$A$3:$AQ$51,30,FALSE)="Left",
                        VLOOKUP(BA$2,'TIS Site Config'!$A$3:$AQ$51,22,FALSE)="Combined",
                        OR(VLOOKUP(BA$2,'TIS Site Config'!$A$3:$AQ$51,6,FALSE)="Heated",
                               VLOOKUP(BA$2,'TIS Site Config'!$A$3:$AQ$51,6,FALSE)="Heated")),
                              1,0),0)</f>
        <v>0</v>
      </c>
      <c r="BB94" s="142">
        <f>IF(VLOOKUP(BB$2,'TIS Site Config'!$A$4:$AQ$51,3,FALSE)&lt;&gt;"Soft",
          IF(
             AND(VLOOKUP(BB$2,'TIS Site Config'!$A$3:$AQ$51,30,FALSE)="Left",
                        VLOOKUP(BB$2,'TIS Site Config'!$A$3:$AQ$51,22,FALSE)="Combined",
                        OR(VLOOKUP(BB$2,'TIS Site Config'!$A$3:$AQ$51,6,FALSE)="Heated",
                               VLOOKUP(BB$2,'TIS Site Config'!$A$3:$AQ$51,6,FALSE)="Heated")),
                              1,0),0)</f>
        <v>0</v>
      </c>
      <c r="BC94" s="258">
        <f>IF(VLOOKUP(BC$2,'TIS Site Config'!$A$4:$AQ$51,3,FALSE)&lt;&gt;"Soft",
          IF(
             AND(VLOOKUP(BC$2,'TIS Site Config'!$A$3:$AQ$51,30,FALSE)="Left",
                        VLOOKUP(BC$2,'TIS Site Config'!$A$3:$AQ$51,22,FALSE)="Combined",
                        OR(VLOOKUP(BC$2,'TIS Site Config'!$A$3:$AQ$51,6,FALSE)="Heated",
                               VLOOKUP(BC$2,'TIS Site Config'!$A$3:$AQ$51,6,FALSE)="Heated")),
                              1,0),0)</f>
        <v>0</v>
      </c>
      <c r="BD94" s="142">
        <f>IF(VLOOKUP(BD$2,'TIS Site Config'!$A$4:$AQ$51,3,FALSE)&lt;&gt;"Soft",
          IF(
             AND(VLOOKUP(BD$2,'TIS Site Config'!$A$3:$AQ$51,30,FALSE)="Left",
                        VLOOKUP(BD$2,'TIS Site Config'!$A$3:$AQ$51,22,FALSE)="Combined",
                        OR(VLOOKUP(BD$2,'TIS Site Config'!$A$3:$AQ$51,6,FALSE)="Heated",
                               VLOOKUP(BD$2,'TIS Site Config'!$A$3:$AQ$51,6,FALSE)="Heated")),
                              1,0),0)</f>
        <v>0</v>
      </c>
      <c r="BE94" s="257">
        <f>IF(VLOOKUP(BE$2,'TIS Site Config'!$A$4:$AQ$51,3,FALSE)&lt;&gt;"Soft",
          IF(
             AND(VLOOKUP(BE$2,'TIS Site Config'!$A$3:$AQ$51,30,FALSE)="Left",
                        VLOOKUP(BE$2,'TIS Site Config'!$A$3:$AQ$51,22,FALSE)="Combined",
                        OR(VLOOKUP(BE$2,'TIS Site Config'!$A$3:$AQ$51,6,FALSE)="Heated",
                               VLOOKUP(BE$2,'TIS Site Config'!$A$3:$AQ$51,6,FALSE)="Heated")),
                              1,0),0)</f>
        <v>0</v>
      </c>
      <c r="BF94" s="258">
        <f>IF(VLOOKUP(BF$2,'TIS Site Config'!$A$4:$AQ$51,3,FALSE)&lt;&gt;"Soft",
          IF(
             AND(VLOOKUP(BF$2,'TIS Site Config'!$A$3:$AQ$51,30,FALSE)="Left",
                        VLOOKUP(BF$2,'TIS Site Config'!$A$3:$AQ$51,22,FALSE)="Combined",
                        OR(VLOOKUP(BF$2,'TIS Site Config'!$A$3:$AQ$51,6,FALSE)="Heated",
                               VLOOKUP(BF$2,'TIS Site Config'!$A$3:$AQ$51,6,FALSE)="Heated")),
                              1,0),0)</f>
        <v>0</v>
      </c>
      <c r="BG94" s="68">
        <f>IF(VLOOKUP(BG$2,'TIS Site Config'!$A$4:$AQ$51,3,FALSE)&lt;&gt;"Soft",
          IF(
             AND(VLOOKUP(BG$2,'TIS Site Config'!$A$3:$AQ$51,30,FALSE)="Left",
                        VLOOKUP(BG$2,'TIS Site Config'!$A$3:$AQ$51,22,FALSE)="Combined",
                        OR(VLOOKUP(BG$2,'TIS Site Config'!$A$3:$AQ$51,6,FALSE)="Heated",
                               VLOOKUP(BG$2,'TIS Site Config'!$A$3:$AQ$51,6,FALSE)="Heated")),
                              1,0),0)</f>
        <v>0</v>
      </c>
      <c r="BH94" s="68">
        <f>IF(VLOOKUP(BH$2,'TIS Site Config'!$A$4:$AQ$51,3,FALSE)&lt;&gt;"Soft",
          IF(
             AND(VLOOKUP(BH$2,'TIS Site Config'!$A$3:$AQ$51,30,FALSE)="Left",
                        VLOOKUP(BH$2,'TIS Site Config'!$A$3:$AQ$51,22,FALSE)="Combined",
                        OR(VLOOKUP(BH$2,'TIS Site Config'!$A$3:$AQ$51,6,FALSE)="Heated",
                               VLOOKUP(BH$2,'TIS Site Config'!$A$3:$AQ$51,6,FALSE)="Heated")),
                              1,0),0)</f>
        <v>0</v>
      </c>
      <c r="BK94" s="10">
        <v>6</v>
      </c>
      <c r="BL94" s="950" t="b">
        <f t="shared" si="6"/>
        <v>0</v>
      </c>
      <c r="BO94" s="950"/>
    </row>
    <row r="95" spans="1:67" ht="16.5" thickTop="1" thickBot="1" x14ac:dyDescent="0.3">
      <c r="A95" s="1366"/>
      <c r="B95" s="1139" t="s">
        <v>6</v>
      </c>
      <c r="C95" s="72" t="s">
        <v>254</v>
      </c>
      <c r="D95" s="95">
        <v>2</v>
      </c>
      <c r="E95" s="111" t="s">
        <v>280</v>
      </c>
      <c r="F95" s="65">
        <f t="shared" si="5"/>
        <v>36</v>
      </c>
      <c r="G95" s="447"/>
      <c r="H95" s="448"/>
      <c r="I95" s="448"/>
      <c r="J95" s="448">
        <v>1</v>
      </c>
      <c r="K95" s="449"/>
      <c r="L95" s="490"/>
      <c r="M95" s="139">
        <f>IF(
             AND(LEFT(VLOOKUP(M$2,'TIS Site Config'!$A$3:$AQ$51,27,FALSE),1)="y"),
                              1,0)</f>
        <v>1</v>
      </c>
      <c r="N95" s="240">
        <f>IF(
             AND(LEFT(VLOOKUP(N$2,'TIS Site Config'!$A$3:$AQ$51,27,FALSE),1)="y"),
                              1,0)</f>
        <v>1</v>
      </c>
      <c r="O95" s="244">
        <f>IF(
             AND(LEFT(VLOOKUP(O$2,'TIS Site Config'!$A$3:$AQ$51,27,FALSE),1)="y"),
                              1,0)</f>
        <v>1</v>
      </c>
      <c r="P95" s="239">
        <f>IF(
             AND(LEFT(VLOOKUP(P$2,'TIS Site Config'!$A$3:$AQ$51,27,FALSE),1)="y"),
                              1,0)</f>
        <v>1</v>
      </c>
      <c r="Q95" s="240">
        <f>IF(
             AND(LEFT(VLOOKUP(Q$2,'TIS Site Config'!$A$3:$AQ$51,27,FALSE),1)="y"),
                              1,0)</f>
        <v>0</v>
      </c>
      <c r="R95" s="139">
        <f>IF(
             AND(LEFT(VLOOKUP(R$2,'TIS Site Config'!$A$3:$AQ$51,27,FALSE),1)="y"),
                              1,0)</f>
        <v>1</v>
      </c>
      <c r="S95" s="239">
        <f>IF(
             AND(LEFT(VLOOKUP(S$2,'TIS Site Config'!$A$3:$AQ$51,27,FALSE),1)="y"),
                              1,0)</f>
        <v>1</v>
      </c>
      <c r="T95" s="240">
        <f>IF(
             AND(LEFT(VLOOKUP(T$2,'TIS Site Config'!$A$3:$AQ$51,27,FALSE),1)="y"),
                              1,0)</f>
        <v>0</v>
      </c>
      <c r="U95" s="139">
        <f>IF(
             AND(LEFT(VLOOKUP(U$2,'TIS Site Config'!$A$3:$AQ$51,27,FALSE),1)="y"),
                              1,0)</f>
        <v>1</v>
      </c>
      <c r="V95" s="240">
        <f>IF(
             AND(LEFT(VLOOKUP(V$2,'TIS Site Config'!$A$3:$AQ$51,27,FALSE),1)="y"),
                              1,0)</f>
        <v>0</v>
      </c>
      <c r="W95" s="243">
        <f>IF(
             AND(LEFT(VLOOKUP(W$2,'TIS Site Config'!$A$3:$AQ$51,27,FALSE),1)="y"),
                              1,0)</f>
        <v>1</v>
      </c>
      <c r="X95" s="239">
        <f>IF(
             AND(LEFT(VLOOKUP(X$2,'TIS Site Config'!$A$3:$AQ$51,27,FALSE),1)="y"),
                              1,0)</f>
        <v>0</v>
      </c>
      <c r="Y95" s="240">
        <f>IF(
             AND(LEFT(VLOOKUP(Y$2,'TIS Site Config'!$A$3:$AQ$51,27,FALSE),1)="y"),
                              1,0)</f>
        <v>0</v>
      </c>
      <c r="Z95" s="139">
        <f>IF(
             AND(LEFT(VLOOKUP(Z$2,'TIS Site Config'!$A$3:$AQ$51,27,FALSE),1)="y"),
                              1,0)</f>
        <v>1</v>
      </c>
      <c r="AA95" s="239">
        <f>IF(
             AND(LEFT(VLOOKUP(AA$2,'TIS Site Config'!$A$3:$AQ$51,27,FALSE),1)="y"),
                              1,0)</f>
        <v>1</v>
      </c>
      <c r="AB95" s="240">
        <f>IF(
             AND(LEFT(VLOOKUP(AB$2,'TIS Site Config'!$A$3:$AQ$51,27,FALSE),1)="y"),
                              1,0)</f>
        <v>0</v>
      </c>
      <c r="AC95" s="239">
        <f>IF(
             AND(LEFT(VLOOKUP(AC$2,'TIS Site Config'!$A$3:$AQ$51,27,FALSE),1)="y"),
                              1,0)</f>
        <v>1</v>
      </c>
      <c r="AD95" s="241">
        <f>IF(
             AND(LEFT(VLOOKUP(AD$2,'TIS Site Config'!$A$3:$AQ$51,27,FALSE),1)="y"),
                              1,0)</f>
        <v>1</v>
      </c>
      <c r="AE95" s="241">
        <f>IF(
             AND(LEFT(VLOOKUP(AE$2,'TIS Site Config'!$A$3:$AQ$51,27,FALSE),1)="y"),
                              1,0)</f>
        <v>1</v>
      </c>
      <c r="AF95" s="242">
        <f>IF(
             AND(LEFT(VLOOKUP(AF$2,'TIS Site Config'!$A$3:$AQ$51,27,FALSE),1)="y"),
                              1,0)</f>
        <v>1</v>
      </c>
      <c r="AG95" s="239">
        <f>IF(
             AND(LEFT(VLOOKUP(AG$2,'TIS Site Config'!$A$3:$AQ$51,27,FALSE),1)="y"),
                              1,0)</f>
        <v>0</v>
      </c>
      <c r="AH95" s="240">
        <f>IF(
             AND(LEFT(VLOOKUP(AH$2,'TIS Site Config'!$A$3:$AQ$51,27,FALSE),1)="y"),
                              1,0)</f>
        <v>1</v>
      </c>
      <c r="AI95" s="139">
        <f>IF(
             AND(LEFT(VLOOKUP(AI$2,'TIS Site Config'!$A$3:$AQ$51,27,FALSE),1)="y"),
                              1,0)</f>
        <v>1</v>
      </c>
      <c r="AJ95" s="239">
        <f>IF(
             AND(LEFT(VLOOKUP(AJ$2,'TIS Site Config'!$A$3:$AQ$51,27,FALSE),1)="y"),
                              1,0)</f>
        <v>0</v>
      </c>
      <c r="AK95" s="240">
        <f>IF(
             AND(LEFT(VLOOKUP(AK$2,'TIS Site Config'!$A$3:$AQ$51,27,FALSE),1)="y"),
                              1,0)</f>
        <v>1</v>
      </c>
      <c r="AL95" s="1062">
        <f>IF(
             AND(LEFT(VLOOKUP(AL$2,'TIS Site Config'!$A$3:$AQ$51,27,FALSE),1)="y"),
                              1,0)</f>
        <v>1</v>
      </c>
      <c r="AM95" s="239">
        <f>IF(
             AND(LEFT(VLOOKUP(AM$2,'TIS Site Config'!$A$3:$AQ$51,27,FALSE),1)="y"),
                              1,0)</f>
        <v>1</v>
      </c>
      <c r="AN95" s="240">
        <f>IF(
             AND(LEFT(VLOOKUP(AN$2,'TIS Site Config'!$A$3:$AQ$51,27,FALSE),1)="y"),
                              1,0)</f>
        <v>1</v>
      </c>
      <c r="AO95" s="139">
        <f>IF(
             AND(LEFT(VLOOKUP(AO$2,'TIS Site Config'!$A$3:$AQ$51,27,FALSE),1)="y"),
                              1,0)</f>
        <v>1</v>
      </c>
      <c r="AP95" s="239">
        <f>IF(
             AND(LEFT(VLOOKUP(AP$2,'TIS Site Config'!$A$3:$AQ$51,27,FALSE),1)="y"),
                              1,0)</f>
        <v>1</v>
      </c>
      <c r="AQ95" s="139">
        <f>IF(
             AND(LEFT(VLOOKUP(AQ$2,'TIS Site Config'!$A$3:$AQ$51,27,FALSE),1)="y"),
                              1,0)</f>
        <v>1</v>
      </c>
      <c r="AR95" s="139">
        <f>IF(
             AND(LEFT(VLOOKUP(AR$2,'TIS Site Config'!$A$3:$AQ$51,27,FALSE),1)="y"),
                              1,0)</f>
        <v>1</v>
      </c>
      <c r="AS95" s="239">
        <f>IF(
             AND(LEFT(VLOOKUP(AS$2,'TIS Site Config'!$A$3:$AQ$51,27,FALSE),1)="y"),
                              1,0)</f>
        <v>1</v>
      </c>
      <c r="AT95" s="139">
        <f>IF(
             AND(LEFT(VLOOKUP(AT$2,'TIS Site Config'!$A$3:$AQ$51,27,FALSE),1)="y"),
                              1,0)</f>
        <v>1</v>
      </c>
      <c r="AU95" s="239">
        <f>IF(
             AND(LEFT(VLOOKUP(AU$2,'TIS Site Config'!$A$3:$AQ$51,27,FALSE),1)="y"),
                              1,0)</f>
        <v>0</v>
      </c>
      <c r="AV95" s="139">
        <f>IF(
             AND(LEFT(VLOOKUP(AV$2,'TIS Site Config'!$A$3:$AQ$51,27,FALSE),1)="y"),
                              1,0)</f>
        <v>1</v>
      </c>
      <c r="AW95" s="139">
        <f>IF(
             AND(LEFT(VLOOKUP(AW$2,'TIS Site Config'!$A$3:$AQ$51,27,FALSE),1)="y"),
                              1,0)</f>
        <v>1</v>
      </c>
      <c r="AX95" s="240">
        <f>IF(
             AND(LEFT(VLOOKUP(AX$2,'TIS Site Config'!$A$3:$AQ$51,27,FALSE),1)="y"),
                              1,0)</f>
        <v>0</v>
      </c>
      <c r="AY95" s="139">
        <f>IF(
             AND(LEFT(VLOOKUP(AY$2,'TIS Site Config'!$A$3:$AQ$51,27,FALSE),1)="y"),
                              1,0)</f>
        <v>1</v>
      </c>
      <c r="AZ95" s="239">
        <f>IF(
             AND(LEFT(VLOOKUP(AZ$2,'TIS Site Config'!$A$3:$AQ$51,27,FALSE),1)="y"),
                              1,0)</f>
        <v>0</v>
      </c>
      <c r="BA95" s="241">
        <f>IF(
             AND(LEFT(VLOOKUP(BA$2,'TIS Site Config'!$A$3:$AQ$51,27,FALSE),1)="y"),
                              1,0)</f>
        <v>1</v>
      </c>
      <c r="BB95" s="139">
        <f>IF(
             AND(LEFT(VLOOKUP(BB$2,'TIS Site Config'!$A$3:$AQ$51,27,FALSE),1)="y"),
                              1,0)</f>
        <v>1</v>
      </c>
      <c r="BC95" s="240">
        <f>IF(
             AND(LEFT(VLOOKUP(BC$2,'TIS Site Config'!$A$3:$AQ$51,27,FALSE),1)="y"),
                              1,0)</f>
        <v>1</v>
      </c>
      <c r="BD95" s="139">
        <f>IF(
             AND(LEFT(VLOOKUP(BD$2,'TIS Site Config'!$A$3:$AQ$51,27,FALSE),1)="y"),
                              1,0)</f>
        <v>1</v>
      </c>
      <c r="BE95" s="239">
        <f>IF(
             AND(LEFT(VLOOKUP(BE$2,'TIS Site Config'!$A$3:$AQ$51,27,FALSE),1)="y"),
                              1,0)</f>
        <v>1</v>
      </c>
      <c r="BF95" s="240">
        <f>IF(
             AND(LEFT(VLOOKUP(BF$2,'TIS Site Config'!$A$3:$AQ$51,27,FALSE),1)="y"),
                              1,0)</f>
        <v>1</v>
      </c>
      <c r="BG95" s="65">
        <f>IF(
             AND(LEFT(VLOOKUP(BG$2,'TIS Site Config'!$A$3:$AQ$51,27,FALSE),1)="y"),
                              1,0)</f>
        <v>1</v>
      </c>
      <c r="BH95" s="65">
        <f>IF(
             AND(LEFT(VLOOKUP(BH$2,'TIS Site Config'!$A$3:$AQ$51,27,FALSE),1)="y"),
                              1,0)</f>
        <v>1</v>
      </c>
      <c r="BK95" s="3">
        <v>34</v>
      </c>
      <c r="BL95" s="950" t="b">
        <f t="shared" si="6"/>
        <v>0</v>
      </c>
      <c r="BO95" s="950"/>
    </row>
    <row r="96" spans="1:67" ht="15.75" thickTop="1" x14ac:dyDescent="0.25">
      <c r="A96" s="1366"/>
      <c r="B96" s="1387" t="s">
        <v>32</v>
      </c>
      <c r="C96" s="72" t="s">
        <v>171</v>
      </c>
      <c r="D96" s="95">
        <v>2</v>
      </c>
      <c r="E96" s="111" t="s">
        <v>318</v>
      </c>
      <c r="F96" s="65">
        <f t="shared" si="5"/>
        <v>35</v>
      </c>
      <c r="G96" s="447"/>
      <c r="H96" s="448"/>
      <c r="I96" s="448"/>
      <c r="J96" s="448"/>
      <c r="K96" s="449"/>
      <c r="L96" s="490"/>
      <c r="M96" s="139">
        <f>IF(
          AND(LEFT(VLOOKUP(M$2,'TIS Site Config'!$A$3:$AQ$51,28,FALSE),1)="y"),
                              1,0)</f>
        <v>1</v>
      </c>
      <c r="N96" s="240">
        <f>IF(
          AND(LEFT(VLOOKUP(N$2,'TIS Site Config'!$A$3:$AQ$51,28,FALSE),1)="y"),
                              1,0)</f>
        <v>1</v>
      </c>
      <c r="O96" s="244">
        <f>IF(
          AND(LEFT(VLOOKUP(O$2,'TIS Site Config'!$A$3:$AQ$51,28,FALSE),1)="y"),
                              1,0)</f>
        <v>1</v>
      </c>
      <c r="P96" s="239">
        <f>IF(
          AND(LEFT(VLOOKUP(P$2,'TIS Site Config'!$A$3:$AQ$51,28,FALSE),1)="y"),
                              1,0)</f>
        <v>1</v>
      </c>
      <c r="Q96" s="240">
        <f>IF(
          AND(LEFT(VLOOKUP(Q$2,'TIS Site Config'!$A$3:$AQ$51,28,FALSE),1)="y"),
                              1,0)</f>
        <v>1</v>
      </c>
      <c r="R96" s="139">
        <f>IF(
          AND(LEFT(VLOOKUP(R$2,'TIS Site Config'!$A$3:$AQ$51,28,FALSE),1)="y"),
                              1,0)</f>
        <v>1</v>
      </c>
      <c r="S96" s="239">
        <f>IF(
          AND(LEFT(VLOOKUP(S$2,'TIS Site Config'!$A$3:$AQ$51,28,FALSE),1)="y"),
                              1,0)</f>
        <v>1</v>
      </c>
      <c r="T96" s="240">
        <f>IF(
          AND(LEFT(VLOOKUP(T$2,'TIS Site Config'!$A$3:$AQ$51,28,FALSE),1)="y"),
                              1,0)</f>
        <v>1</v>
      </c>
      <c r="U96" s="139">
        <f>IF(
          AND(LEFT(VLOOKUP(U$2,'TIS Site Config'!$A$3:$AQ$51,28,FALSE),1)="y"),
                              1,0)</f>
        <v>1</v>
      </c>
      <c r="V96" s="240">
        <f>IF(
          AND(LEFT(VLOOKUP(V$2,'TIS Site Config'!$A$3:$AQ$51,28,FALSE),1)="y"),
                              1,0)</f>
        <v>1</v>
      </c>
      <c r="W96" s="243">
        <f>IF(
          AND(LEFT(VLOOKUP(W$2,'TIS Site Config'!$A$3:$AQ$51,28,FALSE),1)="y"),
                              1,0)</f>
        <v>1</v>
      </c>
      <c r="X96" s="239">
        <f>IF(
          AND(LEFT(VLOOKUP(X$2,'TIS Site Config'!$A$3:$AQ$51,28,FALSE),1)="y"),
                              1,0)</f>
        <v>1</v>
      </c>
      <c r="Y96" s="240">
        <f>IF(
          AND(LEFT(VLOOKUP(Y$2,'TIS Site Config'!$A$3:$AQ$51,28,FALSE),1)="y"),
                              1,0)</f>
        <v>1</v>
      </c>
      <c r="Z96" s="139">
        <f>IF(
          AND(LEFT(VLOOKUP(Z$2,'TIS Site Config'!$A$3:$AQ$51,28,FALSE),1)="y"),
                              1,0)</f>
        <v>0</v>
      </c>
      <c r="AA96" s="239">
        <f>IF(
          AND(LEFT(VLOOKUP(AA$2,'TIS Site Config'!$A$3:$AQ$51,28,FALSE),1)="y"),
                              1,0)</f>
        <v>1</v>
      </c>
      <c r="AB96" s="240">
        <f>IF(
          AND(LEFT(VLOOKUP(AB$2,'TIS Site Config'!$A$3:$AQ$51,28,FALSE),1)="y"),
                              1,0)</f>
        <v>1</v>
      </c>
      <c r="AC96" s="239">
        <f>IF(
          AND(LEFT(VLOOKUP(AC$2,'TIS Site Config'!$A$3:$AQ$51,28,FALSE),1)="y"),
                              1,0)</f>
        <v>1</v>
      </c>
      <c r="AD96" s="241">
        <f>IF(
          AND(LEFT(VLOOKUP(AD$2,'TIS Site Config'!$A$3:$AQ$51,28,FALSE),1)="y"),
                              1,0)</f>
        <v>1</v>
      </c>
      <c r="AE96" s="241">
        <f>IF(
          AND(LEFT(VLOOKUP(AE$2,'TIS Site Config'!$A$3:$AQ$51,28,FALSE),1)="y"),
                              1,0)</f>
        <v>1</v>
      </c>
      <c r="AF96" s="242">
        <f>IF(
          AND(LEFT(VLOOKUP(AF$2,'TIS Site Config'!$A$3:$AQ$51,28,FALSE),1)="y"),
                              1,0)</f>
        <v>1</v>
      </c>
      <c r="AG96" s="239">
        <f>IF(
          AND(LEFT(VLOOKUP(AG$2,'TIS Site Config'!$A$3:$AQ$51,28,FALSE),1)="y"),
                              1,0)</f>
        <v>1</v>
      </c>
      <c r="AH96" s="240">
        <f>IF(
          AND(LEFT(VLOOKUP(AH$2,'TIS Site Config'!$A$3:$AQ$51,28,FALSE),1)="y"),
                              1,0)</f>
        <v>1</v>
      </c>
      <c r="AI96" s="139">
        <f>IF(
          AND(LEFT(VLOOKUP(AI$2,'TIS Site Config'!$A$3:$AQ$51,28,FALSE),1)="y"),
                              1,0)</f>
        <v>0</v>
      </c>
      <c r="AJ96" s="239">
        <f>IF(
          AND(LEFT(VLOOKUP(AJ$2,'TIS Site Config'!$A$3:$AQ$51,28,FALSE),1)="y"),
                              1,0)</f>
        <v>1</v>
      </c>
      <c r="AK96" s="240">
        <f>IF(
          AND(LEFT(VLOOKUP(AK$2,'TIS Site Config'!$A$3:$AQ$51,28,FALSE),1)="y"),
                              1,0)</f>
        <v>1</v>
      </c>
      <c r="AL96" s="139">
        <f>IF(
          AND(LEFT(VLOOKUP(AL$2,'TIS Site Config'!$A$3:$AQ$51,28,FALSE),1)="y"),
                              1,0)</f>
        <v>0</v>
      </c>
      <c r="AM96" s="239">
        <f>IF(
          AND(LEFT(VLOOKUP(AM$2,'TIS Site Config'!$A$3:$AQ$51,28,FALSE),1)="y"),
                              1,0)</f>
        <v>1</v>
      </c>
      <c r="AN96" s="240">
        <f>IF(
          AND(LEFT(VLOOKUP(AN$2,'TIS Site Config'!$A$3:$AQ$51,28,FALSE),1)="y"),
                              1,0)</f>
        <v>1</v>
      </c>
      <c r="AO96" s="139">
        <f>IF(
          AND(LEFT(VLOOKUP(AO$2,'TIS Site Config'!$A$3:$AQ$51,28,FALSE),1)="y"),
                              1,0)</f>
        <v>0</v>
      </c>
      <c r="AP96" s="239">
        <f>IF(
          AND(LEFT(VLOOKUP(AP$2,'TIS Site Config'!$A$3:$AQ$51,28,FALSE),1)="y"),
                              1,0)</f>
        <v>1</v>
      </c>
      <c r="AQ96" s="139">
        <f>IF(
          AND(LEFT(VLOOKUP(AQ$2,'TIS Site Config'!$A$3:$AQ$51,28,FALSE),1)="y"),
                              1,0)</f>
        <v>0</v>
      </c>
      <c r="AR96" s="139">
        <f>IF(
          AND(LEFT(VLOOKUP(AR$2,'TIS Site Config'!$A$3:$AQ$51,28,FALSE),1)="y"),
                              1,0)</f>
        <v>0</v>
      </c>
      <c r="AS96" s="239">
        <f>IF(
          AND(LEFT(VLOOKUP(AS$2,'TIS Site Config'!$A$3:$AQ$51,28,FALSE),1)="y"),
                              1,0)</f>
        <v>1</v>
      </c>
      <c r="AT96" s="139">
        <f>IF(
          AND(LEFT(VLOOKUP(AT$2,'TIS Site Config'!$A$3:$AQ$51,28,FALSE),1)="y"),
                              1,0)</f>
        <v>0</v>
      </c>
      <c r="AU96" s="239">
        <f>IF(
          AND(LEFT(VLOOKUP(AU$2,'TIS Site Config'!$A$3:$AQ$51,28,FALSE),1)="y"),
                              1,0)</f>
        <v>1</v>
      </c>
      <c r="AV96" s="139">
        <f>IF(
          AND(LEFT(VLOOKUP(AV$2,'TIS Site Config'!$A$3:$AQ$51,28,FALSE),1)="y"),
                              1,0)</f>
        <v>0</v>
      </c>
      <c r="AW96" s="139">
        <f>IF(
          AND(LEFT(VLOOKUP(AW$2,'TIS Site Config'!$A$3:$AQ$51,28,FALSE),1)="y"),
                              1,0)</f>
        <v>1</v>
      </c>
      <c r="AX96" s="240">
        <f>IF(
          AND(LEFT(VLOOKUP(AX$2,'TIS Site Config'!$A$3:$AQ$51,28,FALSE),1)="y"),
                              1,0)</f>
        <v>1</v>
      </c>
      <c r="AY96" s="139">
        <f>IF(
          AND(LEFT(VLOOKUP(AY$2,'TIS Site Config'!$A$3:$AQ$51,28,FALSE),1)="y"),
                              1,0)</f>
        <v>0</v>
      </c>
      <c r="AZ96" s="239">
        <f>IF(
          AND(LEFT(VLOOKUP(AZ$2,'TIS Site Config'!$A$3:$AQ$51,28,FALSE),1)="y"),
                              1,0)</f>
        <v>1</v>
      </c>
      <c r="BA96" s="241">
        <f>IF(
          AND(LEFT(VLOOKUP(BA$2,'TIS Site Config'!$A$3:$AQ$51,28,FALSE),1)="y"),
                              1,0)</f>
        <v>1</v>
      </c>
      <c r="BB96" s="139">
        <f>IF(
          AND(LEFT(VLOOKUP(BB$2,'TIS Site Config'!$A$3:$AQ$51,28,FALSE),1)="y"),
                              1,0)</f>
        <v>0</v>
      </c>
      <c r="BC96" s="240">
        <f>IF(
          AND(LEFT(VLOOKUP(BC$2,'TIS Site Config'!$A$3:$AQ$51,28,FALSE),1)="y"),
                              1,0)</f>
        <v>1</v>
      </c>
      <c r="BD96" s="139">
        <f>IF(
          AND(LEFT(VLOOKUP(BD$2,'TIS Site Config'!$A$3:$AQ$51,28,FALSE),1)="y"),
                              1,0)</f>
        <v>0</v>
      </c>
      <c r="BE96" s="239">
        <f>IF(
          AND(LEFT(VLOOKUP(BE$2,'TIS Site Config'!$A$3:$AQ$51,28,FALSE),1)="y"),
                              1,0)</f>
        <v>1</v>
      </c>
      <c r="BF96" s="240">
        <f>IF(
          AND(LEFT(VLOOKUP(BF$2,'TIS Site Config'!$A$3:$AQ$51,28,FALSE),1)="y"),
                              1,0)</f>
        <v>1</v>
      </c>
      <c r="BG96" s="65">
        <f>IF(
          AND(LEFT(VLOOKUP(BG$2,'TIS Site Config'!$A$3:$AQ$51,28,FALSE),1)="y"),
                              1,0)</f>
        <v>0</v>
      </c>
      <c r="BH96" s="65">
        <f>IF(
          AND(LEFT(VLOOKUP(BH$2,'TIS Site Config'!$A$3:$AQ$51,28,FALSE),1)="y"),
                              1,0)</f>
        <v>1</v>
      </c>
      <c r="BI96" s="437" t="s">
        <v>968</v>
      </c>
      <c r="BK96" s="3">
        <v>48</v>
      </c>
      <c r="BL96" s="950" t="b">
        <f t="shared" si="6"/>
        <v>0</v>
      </c>
      <c r="BO96" s="950"/>
    </row>
    <row r="97" spans="1:67" s="44" customFormat="1" ht="15.75" thickBot="1" x14ac:dyDescent="0.3">
      <c r="A97" s="1366"/>
      <c r="B97" s="1333"/>
      <c r="C97" s="69" t="s">
        <v>172</v>
      </c>
      <c r="D97" s="91">
        <v>2</v>
      </c>
      <c r="E97" s="85" t="s">
        <v>279</v>
      </c>
      <c r="F97" s="62">
        <f t="shared" si="5"/>
        <v>12</v>
      </c>
      <c r="G97" s="450"/>
      <c r="H97" s="451"/>
      <c r="I97" s="451">
        <v>1</v>
      </c>
      <c r="J97" s="451"/>
      <c r="K97" s="452"/>
      <c r="L97" s="491"/>
      <c r="M97" s="136">
        <f>IF(
          AND(LEFT(VLOOKUP(M$2,'TIS Site Config'!$A$3:$AQ$51,28,FALSE),1)&lt;&gt;"y"),
                              1,0)</f>
        <v>0</v>
      </c>
      <c r="N97" s="222">
        <f>IF(
          AND(LEFT(VLOOKUP(N$2,'TIS Site Config'!$A$3:$AQ$51,28,FALSE),1)&lt;&gt;"y"),
                              1,0)</f>
        <v>0</v>
      </c>
      <c r="O97" s="225">
        <f>IF(
          AND(LEFT(VLOOKUP(O$2,'TIS Site Config'!$A$3:$AQ$51,28,FALSE),1)&lt;&gt;"y"),
                              1,0)</f>
        <v>0</v>
      </c>
      <c r="P97" s="21">
        <f>IF(
          AND(LEFT(VLOOKUP(P$2,'TIS Site Config'!$A$3:$AQ$51,28,FALSE),1)&lt;&gt;"y"),
                              1,0)</f>
        <v>0</v>
      </c>
      <c r="Q97" s="222">
        <f>IF(
          AND(LEFT(VLOOKUP(Q$2,'TIS Site Config'!$A$3:$AQ$51,28,FALSE),1)&lt;&gt;"y"),
                              1,0)</f>
        <v>0</v>
      </c>
      <c r="R97" s="136">
        <f>IF(
          AND(LEFT(VLOOKUP(R$2,'TIS Site Config'!$A$3:$AQ$51,28,FALSE),1)&lt;&gt;"y"),
                              1,0)</f>
        <v>0</v>
      </c>
      <c r="S97" s="21">
        <f>IF(
          AND(LEFT(VLOOKUP(S$2,'TIS Site Config'!$A$3:$AQ$51,28,FALSE),1)&lt;&gt;"y"),
                              1,0)</f>
        <v>0</v>
      </c>
      <c r="T97" s="222">
        <f>IF(
          AND(LEFT(VLOOKUP(T$2,'TIS Site Config'!$A$3:$AQ$51,28,FALSE),1)&lt;&gt;"y"),
                              1,0)</f>
        <v>0</v>
      </c>
      <c r="U97" s="136">
        <f>IF(
          AND(LEFT(VLOOKUP(U$2,'TIS Site Config'!$A$3:$AQ$51,28,FALSE),1)&lt;&gt;"y"),
                              1,0)</f>
        <v>0</v>
      </c>
      <c r="V97" s="222">
        <f>IF(
          AND(LEFT(VLOOKUP(V$2,'TIS Site Config'!$A$3:$AQ$51,28,FALSE),1)&lt;&gt;"y"),
                              1,0)</f>
        <v>0</v>
      </c>
      <c r="W97" s="224">
        <f>IF(
          AND(LEFT(VLOOKUP(W$2,'TIS Site Config'!$A$3:$AQ$51,28,FALSE),1)&lt;&gt;"y"),
                              1,0)</f>
        <v>0</v>
      </c>
      <c r="X97" s="21">
        <f>IF(
          AND(LEFT(VLOOKUP(X$2,'TIS Site Config'!$A$3:$AQ$51,28,FALSE),1)&lt;&gt;"y"),
                              1,0)</f>
        <v>0</v>
      </c>
      <c r="Y97" s="222">
        <f>IF(
          AND(LEFT(VLOOKUP(Y$2,'TIS Site Config'!$A$3:$AQ$51,28,FALSE),1)&lt;&gt;"y"),
                              1,0)</f>
        <v>0</v>
      </c>
      <c r="Z97" s="136">
        <f>IF(
          AND(LEFT(VLOOKUP(Z$2,'TIS Site Config'!$A$3:$AQ$51,28,FALSE),1)&lt;&gt;"y"),
                              1,0)</f>
        <v>1</v>
      </c>
      <c r="AA97" s="21">
        <f>IF(
          AND(LEFT(VLOOKUP(AA$2,'TIS Site Config'!$A$3:$AQ$51,28,FALSE),1)&lt;&gt;"y"),
                              1,0)</f>
        <v>0</v>
      </c>
      <c r="AB97" s="222">
        <f>IF(
          AND(LEFT(VLOOKUP(AB$2,'TIS Site Config'!$A$3:$AQ$51,28,FALSE),1)&lt;&gt;"y"),
                              1,0)</f>
        <v>0</v>
      </c>
      <c r="AC97" s="21">
        <f>IF(
          AND(LEFT(VLOOKUP(AC$2,'TIS Site Config'!$A$3:$AQ$51,28,FALSE),1)&lt;&gt;"y"),
                              1,0)</f>
        <v>0</v>
      </c>
      <c r="AD97" s="223">
        <f>IF(
          AND(LEFT(VLOOKUP(AD$2,'TIS Site Config'!$A$3:$AQ$51,28,FALSE),1)&lt;&gt;"y"),
                              1,0)</f>
        <v>0</v>
      </c>
      <c r="AE97" s="223">
        <f>IF(
          AND(LEFT(VLOOKUP(AE$2,'TIS Site Config'!$A$3:$AQ$51,28,FALSE),1)&lt;&gt;"y"),
                              1,0)</f>
        <v>0</v>
      </c>
      <c r="AF97" s="16">
        <f>IF(
          AND(LEFT(VLOOKUP(AF$2,'TIS Site Config'!$A$3:$AQ$51,28,FALSE),1)&lt;&gt;"y"),
                              1,0)</f>
        <v>0</v>
      </c>
      <c r="AG97" s="21">
        <f>IF(
          AND(LEFT(VLOOKUP(AG$2,'TIS Site Config'!$A$3:$AQ$51,28,FALSE),1)&lt;&gt;"y"),
                              1,0)</f>
        <v>0</v>
      </c>
      <c r="AH97" s="222">
        <f>IF(
          AND(LEFT(VLOOKUP(AH$2,'TIS Site Config'!$A$3:$AQ$51,28,FALSE),1)&lt;&gt;"y"),
                              1,0)</f>
        <v>0</v>
      </c>
      <c r="AI97" s="136">
        <f>IF(
          AND(LEFT(VLOOKUP(AI$2,'TIS Site Config'!$A$3:$AQ$51,28,FALSE),1)&lt;&gt;"y"),
                              1,0)</f>
        <v>1</v>
      </c>
      <c r="AJ97" s="21">
        <f>IF(
          AND(LEFT(VLOOKUP(AJ$2,'TIS Site Config'!$A$3:$AQ$51,28,FALSE),1)&lt;&gt;"y"),
                              1,0)</f>
        <v>0</v>
      </c>
      <c r="AK97" s="222">
        <f>IF(
          AND(LEFT(VLOOKUP(AK$2,'TIS Site Config'!$A$3:$AQ$51,28,FALSE),1)&lt;&gt;"y"),
                              1,0)</f>
        <v>0</v>
      </c>
      <c r="AL97" s="1009">
        <f>IF(
          AND(LEFT(VLOOKUP(AL$2,'TIS Site Config'!$A$3:$AQ$51,28,FALSE),1)&lt;&gt;"y"),
                              1,0)</f>
        <v>1</v>
      </c>
      <c r="AM97" s="21">
        <f>IF(
          AND(LEFT(VLOOKUP(AM$2,'TIS Site Config'!$A$3:$AQ$51,28,FALSE),1)&lt;&gt;"y"),
                              1,0)</f>
        <v>0</v>
      </c>
      <c r="AN97" s="222">
        <f>IF(
          AND(LEFT(VLOOKUP(AN$2,'TIS Site Config'!$A$3:$AQ$51,28,FALSE),1)&lt;&gt;"y"),
                              1,0)</f>
        <v>0</v>
      </c>
      <c r="AO97" s="136">
        <f>IF(
          AND(LEFT(VLOOKUP(AO$2,'TIS Site Config'!$A$3:$AQ$51,28,FALSE),1)&lt;&gt;"y"),
                              1,0)</f>
        <v>1</v>
      </c>
      <c r="AP97" s="21">
        <f>IF(
          AND(LEFT(VLOOKUP(AP$2,'TIS Site Config'!$A$3:$AQ$51,28,FALSE),1)&lt;&gt;"y"),
                              1,0)</f>
        <v>0</v>
      </c>
      <c r="AQ97" s="136">
        <f>IF(
          AND(LEFT(VLOOKUP(AQ$2,'TIS Site Config'!$A$3:$AQ$51,28,FALSE),1)&lt;&gt;"y"),
                              1,0)</f>
        <v>1</v>
      </c>
      <c r="AR97" s="136">
        <f>IF(
          AND(LEFT(VLOOKUP(AR$2,'TIS Site Config'!$A$3:$AQ$51,28,FALSE),1)&lt;&gt;"y"),
                              1,0)</f>
        <v>1</v>
      </c>
      <c r="AS97" s="21">
        <f>IF(
          AND(LEFT(VLOOKUP(AS$2,'TIS Site Config'!$A$3:$AQ$51,28,FALSE),1)&lt;&gt;"y"),
                              1,0)</f>
        <v>0</v>
      </c>
      <c r="AT97" s="136">
        <f>IF(
          AND(LEFT(VLOOKUP(AT$2,'TIS Site Config'!$A$3:$AQ$51,28,FALSE),1)&lt;&gt;"y"),
                              1,0)</f>
        <v>1</v>
      </c>
      <c r="AU97" s="21">
        <f>IF(
          AND(LEFT(VLOOKUP(AU$2,'TIS Site Config'!$A$3:$AQ$51,28,FALSE),1)&lt;&gt;"y"),
                              1,0)</f>
        <v>0</v>
      </c>
      <c r="AV97" s="136">
        <f>IF(
          AND(LEFT(VLOOKUP(AV$2,'TIS Site Config'!$A$3:$AQ$51,28,FALSE),1)&lt;&gt;"y"),
                              1,0)</f>
        <v>1</v>
      </c>
      <c r="AW97" s="136">
        <f>IF(
          AND(LEFT(VLOOKUP(AW$2,'TIS Site Config'!$A$3:$AQ$51,28,FALSE),1)&lt;&gt;"y"),
                              1,0)</f>
        <v>0</v>
      </c>
      <c r="AX97" s="222">
        <f>IF(
          AND(LEFT(VLOOKUP(AX$2,'TIS Site Config'!$A$3:$AQ$51,28,FALSE),1)&lt;&gt;"y"),
                              1,0)</f>
        <v>0</v>
      </c>
      <c r="AY97" s="136">
        <f>IF(
          AND(LEFT(VLOOKUP(AY$2,'TIS Site Config'!$A$3:$AQ$51,28,FALSE),1)&lt;&gt;"y"),
                              1,0)</f>
        <v>1</v>
      </c>
      <c r="AZ97" s="21">
        <f>IF(
          AND(LEFT(VLOOKUP(AZ$2,'TIS Site Config'!$A$3:$AQ$51,28,FALSE),1)&lt;&gt;"y"),
                              1,0)</f>
        <v>0</v>
      </c>
      <c r="BA97" s="223">
        <f>IF(
          AND(LEFT(VLOOKUP(BA$2,'TIS Site Config'!$A$3:$AQ$51,28,FALSE),1)&lt;&gt;"y"),
                              1,0)</f>
        <v>0</v>
      </c>
      <c r="BB97" s="136">
        <f>IF(
          AND(LEFT(VLOOKUP(BB$2,'TIS Site Config'!$A$3:$AQ$51,28,FALSE),1)&lt;&gt;"y"),
                              1,0)</f>
        <v>1</v>
      </c>
      <c r="BC97" s="222">
        <f>IF(
          AND(LEFT(VLOOKUP(BC$2,'TIS Site Config'!$A$3:$AQ$51,28,FALSE),1)&lt;&gt;"y"),
                              1,0)</f>
        <v>0</v>
      </c>
      <c r="BD97" s="136">
        <f>IF(
          AND(LEFT(VLOOKUP(BD$2,'TIS Site Config'!$A$3:$AQ$51,28,FALSE),1)&lt;&gt;"y"),
                              1,0)</f>
        <v>1</v>
      </c>
      <c r="BE97" s="21">
        <f>IF(
          AND(LEFT(VLOOKUP(BE$2,'TIS Site Config'!$A$3:$AQ$51,28,FALSE),1)&lt;&gt;"y"),
                              1,0)</f>
        <v>0</v>
      </c>
      <c r="BF97" s="222">
        <f>IF(
          AND(LEFT(VLOOKUP(BF$2,'TIS Site Config'!$A$3:$AQ$51,28,FALSE),1)&lt;&gt;"y"),
                              1,0)</f>
        <v>0</v>
      </c>
      <c r="BG97" s="62">
        <f>IF(
          AND(LEFT(VLOOKUP(BG$2,'TIS Site Config'!$A$3:$AQ$51,28,FALSE),1)&lt;&gt;"y"),
                              1,0)</f>
        <v>1</v>
      </c>
      <c r="BH97" s="62">
        <f>IF(
          AND(LEFT(VLOOKUP(BH$2,'TIS Site Config'!$A$3:$AQ$51,28,FALSE),1)&lt;&gt;"y"),
                              1,0)</f>
        <v>0</v>
      </c>
      <c r="BK97" s="44">
        <v>11</v>
      </c>
      <c r="BL97" s="950" t="b">
        <f t="shared" si="6"/>
        <v>0</v>
      </c>
      <c r="BO97" s="950"/>
    </row>
    <row r="98" spans="1:67" s="10" customFormat="1" ht="16.5" thickTop="1" thickBot="1" x14ac:dyDescent="0.3">
      <c r="A98" s="1366"/>
      <c r="B98" s="1140" t="s">
        <v>79</v>
      </c>
      <c r="C98" s="72" t="s">
        <v>438</v>
      </c>
      <c r="D98" s="95">
        <v>3</v>
      </c>
      <c r="E98" s="111" t="s">
        <v>400</v>
      </c>
      <c r="F98" s="65">
        <f t="shared" si="5"/>
        <v>47</v>
      </c>
      <c r="G98" s="447"/>
      <c r="H98" s="448"/>
      <c r="I98" s="448"/>
      <c r="J98" s="448"/>
      <c r="K98" s="449"/>
      <c r="L98" s="490"/>
      <c r="M98" s="139">
        <f>1</f>
        <v>1</v>
      </c>
      <c r="N98" s="240">
        <f>1</f>
        <v>1</v>
      </c>
      <c r="O98" s="244">
        <f>1</f>
        <v>1</v>
      </c>
      <c r="P98" s="239">
        <f>1</f>
        <v>1</v>
      </c>
      <c r="Q98" s="240">
        <f>1</f>
        <v>1</v>
      </c>
      <c r="R98" s="139">
        <f>1</f>
        <v>1</v>
      </c>
      <c r="S98" s="239">
        <f>1</f>
        <v>1</v>
      </c>
      <c r="T98" s="240">
        <f>1</f>
        <v>1</v>
      </c>
      <c r="U98" s="139">
        <f>1</f>
        <v>1</v>
      </c>
      <c r="V98" s="240">
        <f>1</f>
        <v>1</v>
      </c>
      <c r="W98" s="243">
        <f>1</f>
        <v>1</v>
      </c>
      <c r="X98" s="239">
        <f>1</f>
        <v>1</v>
      </c>
      <c r="Y98" s="240">
        <f>1</f>
        <v>1</v>
      </c>
      <c r="Z98" s="139">
        <f>1</f>
        <v>1</v>
      </c>
      <c r="AA98" s="239">
        <f>1</f>
        <v>1</v>
      </c>
      <c r="AB98" s="240">
        <f>1</f>
        <v>1</v>
      </c>
      <c r="AC98" s="239">
        <f>1</f>
        <v>1</v>
      </c>
      <c r="AD98" s="241">
        <f>1</f>
        <v>1</v>
      </c>
      <c r="AE98" s="241">
        <f>1</f>
        <v>1</v>
      </c>
      <c r="AF98" s="242">
        <f>1</f>
        <v>1</v>
      </c>
      <c r="AG98" s="239">
        <f>1</f>
        <v>1</v>
      </c>
      <c r="AH98" s="240">
        <f>1</f>
        <v>1</v>
      </c>
      <c r="AI98" s="139">
        <f>1</f>
        <v>1</v>
      </c>
      <c r="AJ98" s="239">
        <f>1</f>
        <v>1</v>
      </c>
      <c r="AK98" s="240">
        <f>1</f>
        <v>1</v>
      </c>
      <c r="AL98" s="1062">
        <f>1</f>
        <v>1</v>
      </c>
      <c r="AM98" s="239">
        <f>1</f>
        <v>1</v>
      </c>
      <c r="AN98" s="240">
        <f>1</f>
        <v>1</v>
      </c>
      <c r="AO98" s="139">
        <f>1</f>
        <v>1</v>
      </c>
      <c r="AP98" s="239">
        <f>1</f>
        <v>1</v>
      </c>
      <c r="AQ98" s="139">
        <f>1</f>
        <v>1</v>
      </c>
      <c r="AR98" s="139">
        <f>1</f>
        <v>1</v>
      </c>
      <c r="AS98" s="239">
        <f>1</f>
        <v>1</v>
      </c>
      <c r="AT98" s="139">
        <f>1</f>
        <v>1</v>
      </c>
      <c r="AU98" s="239">
        <f>1</f>
        <v>1</v>
      </c>
      <c r="AV98" s="139">
        <f>1</f>
        <v>1</v>
      </c>
      <c r="AW98" s="139">
        <f>1</f>
        <v>1</v>
      </c>
      <c r="AX98" s="240">
        <f>1</f>
        <v>1</v>
      </c>
      <c r="AY98" s="139">
        <f>1</f>
        <v>1</v>
      </c>
      <c r="AZ98" s="239">
        <f>1</f>
        <v>1</v>
      </c>
      <c r="BA98" s="241">
        <f>1</f>
        <v>1</v>
      </c>
      <c r="BB98" s="139">
        <f>1</f>
        <v>1</v>
      </c>
      <c r="BC98" s="240">
        <f>1</f>
        <v>1</v>
      </c>
      <c r="BD98" s="139">
        <f>1</f>
        <v>1</v>
      </c>
      <c r="BE98" s="239">
        <f>1</f>
        <v>1</v>
      </c>
      <c r="BF98" s="240">
        <f>1</f>
        <v>1</v>
      </c>
      <c r="BG98" s="65">
        <f>1</f>
        <v>1</v>
      </c>
      <c r="BH98" s="65">
        <f>1</f>
        <v>1</v>
      </c>
      <c r="BI98" s="437" t="s">
        <v>969</v>
      </c>
      <c r="BK98" s="10">
        <v>59</v>
      </c>
      <c r="BL98" s="950" t="b">
        <f t="shared" si="6"/>
        <v>0</v>
      </c>
      <c r="BO98" s="950"/>
    </row>
    <row r="99" spans="1:67" s="10" customFormat="1" ht="15.75" thickTop="1" x14ac:dyDescent="0.25">
      <c r="A99" s="1366"/>
      <c r="B99" s="1373" t="s">
        <v>80</v>
      </c>
      <c r="C99" s="72" t="s">
        <v>439</v>
      </c>
      <c r="D99" s="95">
        <v>3</v>
      </c>
      <c r="E99" s="111" t="s">
        <v>401</v>
      </c>
      <c r="F99" s="65">
        <f t="shared" si="5"/>
        <v>46</v>
      </c>
      <c r="G99" s="447"/>
      <c r="H99" s="448"/>
      <c r="I99" s="448"/>
      <c r="J99" s="448"/>
      <c r="K99" s="449"/>
      <c r="L99" s="490"/>
      <c r="M99" s="139">
        <f>IF(VLOOKUP(M$2,'TIS Site Config'!$A$3:$AQ$51,1,FALSE)&lt;&gt;"WREF",1,0)</f>
        <v>1</v>
      </c>
      <c r="N99" s="240">
        <f>IF(VLOOKUP(N$2,'TIS Site Config'!$A$3:$AQ$51,1,FALSE)&lt;&gt;"WREF",1,0)</f>
        <v>1</v>
      </c>
      <c r="O99" s="244">
        <f>IF(VLOOKUP(O$2,'TIS Site Config'!$A$3:$AQ$51,1,FALSE)&lt;&gt;"WREF",1,0)</f>
        <v>1</v>
      </c>
      <c r="P99" s="239">
        <f>IF(VLOOKUP(P$2,'TIS Site Config'!$A$3:$AQ$51,1,FALSE)&lt;&gt;"WREF",1,0)</f>
        <v>1</v>
      </c>
      <c r="Q99" s="240">
        <f>IF(VLOOKUP(Q$2,'TIS Site Config'!$A$3:$AQ$51,1,FALSE)&lt;&gt;"WREF",1,0)</f>
        <v>1</v>
      </c>
      <c r="R99" s="139">
        <f>IF(VLOOKUP(R$2,'TIS Site Config'!$A$3:$AQ$51,1,FALSE)&lt;&gt;"WREF",1,0)</f>
        <v>1</v>
      </c>
      <c r="S99" s="239">
        <f>IF(VLOOKUP(S$2,'TIS Site Config'!$A$3:$AQ$51,1,FALSE)&lt;&gt;"WREF",1,0)</f>
        <v>1</v>
      </c>
      <c r="T99" s="240">
        <f>IF(VLOOKUP(T$2,'TIS Site Config'!$A$3:$AQ$51,1,FALSE)&lt;&gt;"WREF",1,0)</f>
        <v>1</v>
      </c>
      <c r="U99" s="139">
        <f>IF(VLOOKUP(U$2,'TIS Site Config'!$A$3:$AQ$51,1,FALSE)&lt;&gt;"WREF",1,0)</f>
        <v>1</v>
      </c>
      <c r="V99" s="240">
        <f>IF(VLOOKUP(V$2,'TIS Site Config'!$A$3:$AQ$51,1,FALSE)&lt;&gt;"WREF",1,0)</f>
        <v>1</v>
      </c>
      <c r="W99" s="243">
        <f>IF(VLOOKUP(W$2,'TIS Site Config'!$A$3:$AQ$51,1,FALSE)&lt;&gt;"WREF",1,0)</f>
        <v>1</v>
      </c>
      <c r="X99" s="239">
        <f>IF(VLOOKUP(X$2,'TIS Site Config'!$A$3:$AQ$51,1,FALSE)&lt;&gt;"WREF",1,0)</f>
        <v>1</v>
      </c>
      <c r="Y99" s="240">
        <f>IF(VLOOKUP(Y$2,'TIS Site Config'!$A$3:$AQ$51,1,FALSE)&lt;&gt;"WREF",1,0)</f>
        <v>1</v>
      </c>
      <c r="Z99" s="139">
        <f>IF(VLOOKUP(Z$2,'TIS Site Config'!$A$3:$AQ$51,1,FALSE)&lt;&gt;"WREF",1,0)</f>
        <v>1</v>
      </c>
      <c r="AA99" s="239">
        <f>IF(VLOOKUP(AA$2,'TIS Site Config'!$A$3:$AQ$51,1,FALSE)&lt;&gt;"WREF",1,0)</f>
        <v>1</v>
      </c>
      <c r="AB99" s="240">
        <f>IF(VLOOKUP(AB$2,'TIS Site Config'!$A$3:$AQ$51,1,FALSE)&lt;&gt;"WREF",1,0)</f>
        <v>1</v>
      </c>
      <c r="AC99" s="239">
        <f>IF(VLOOKUP(AC$2,'TIS Site Config'!$A$3:$AQ$51,1,FALSE)&lt;&gt;"WREF",1,0)</f>
        <v>1</v>
      </c>
      <c r="AD99" s="241">
        <f>IF(VLOOKUP(AD$2,'TIS Site Config'!$A$3:$AQ$51,1,FALSE)&lt;&gt;"WREF",1,0)</f>
        <v>1</v>
      </c>
      <c r="AE99" s="241">
        <f>IF(VLOOKUP(AE$2,'TIS Site Config'!$A$3:$AQ$51,1,FALSE)&lt;&gt;"WREF",1,0)</f>
        <v>1</v>
      </c>
      <c r="AF99" s="242">
        <f>IF(VLOOKUP(AF$2,'TIS Site Config'!$A$3:$AQ$51,1,FALSE)&lt;&gt;"WREF",1,0)</f>
        <v>1</v>
      </c>
      <c r="AG99" s="239">
        <f>IF(VLOOKUP(AG$2,'TIS Site Config'!$A$3:$AQ$51,1,FALSE)&lt;&gt;"WREF",1,0)</f>
        <v>1</v>
      </c>
      <c r="AH99" s="240">
        <f>IF(VLOOKUP(AH$2,'TIS Site Config'!$A$3:$AQ$51,1,FALSE)&lt;&gt;"WREF",1,0)</f>
        <v>1</v>
      </c>
      <c r="AI99" s="139">
        <f>IF(VLOOKUP(AI$2,'TIS Site Config'!$A$3:$AQ$51,1,FALSE)&lt;&gt;"WREF",1,0)</f>
        <v>1</v>
      </c>
      <c r="AJ99" s="239">
        <f>IF(VLOOKUP(AJ$2,'TIS Site Config'!$A$3:$AQ$51,1,FALSE)&lt;&gt;"WREF",1,0)</f>
        <v>1</v>
      </c>
      <c r="AK99" s="240">
        <f>IF(VLOOKUP(AK$2,'TIS Site Config'!$A$3:$AQ$51,1,FALSE)&lt;&gt;"WREF",1,0)</f>
        <v>1</v>
      </c>
      <c r="AL99" s="1062">
        <f>IF(VLOOKUP(AL$2,'TIS Site Config'!$A$3:$AQ$51,1,FALSE)&lt;&gt;"WREF",1,0)</f>
        <v>1</v>
      </c>
      <c r="AM99" s="239">
        <f>IF(VLOOKUP(AM$2,'TIS Site Config'!$A$3:$AQ$51,1,FALSE)&lt;&gt;"WREF",1,0)</f>
        <v>1</v>
      </c>
      <c r="AN99" s="240">
        <f>IF(VLOOKUP(AN$2,'TIS Site Config'!$A$3:$AQ$51,1,FALSE)&lt;&gt;"WREF",1,0)</f>
        <v>1</v>
      </c>
      <c r="AO99" s="139">
        <f>IF(VLOOKUP(AO$2,'TIS Site Config'!$A$3:$AQ$51,1,FALSE)&lt;&gt;"WREF",1,0)</f>
        <v>1</v>
      </c>
      <c r="AP99" s="239">
        <f>IF(VLOOKUP(AP$2,'TIS Site Config'!$A$3:$AQ$51,1,FALSE)&lt;&gt;"WREF",1,0)</f>
        <v>1</v>
      </c>
      <c r="AQ99" s="139">
        <f>IF(VLOOKUP(AQ$2,'TIS Site Config'!$A$3:$AQ$51,1,FALSE)&lt;&gt;"WREF",1,0)</f>
        <v>1</v>
      </c>
      <c r="AR99" s="139">
        <f>IF(VLOOKUP(AR$2,'TIS Site Config'!$A$3:$AQ$51,1,FALSE)&lt;&gt;"WREF",1,0)</f>
        <v>1</v>
      </c>
      <c r="AS99" s="239">
        <f>IF(VLOOKUP(AS$2,'TIS Site Config'!$A$3:$AQ$51,1,FALSE)&lt;&gt;"WREF",1,0)</f>
        <v>1</v>
      </c>
      <c r="AT99" s="139">
        <f>IF(VLOOKUP(AT$2,'TIS Site Config'!$A$3:$AQ$51,1,FALSE)&lt;&gt;"WREF",1,0)</f>
        <v>1</v>
      </c>
      <c r="AU99" s="239">
        <f>IF(VLOOKUP(AU$2,'TIS Site Config'!$A$3:$AQ$51,1,FALSE)&lt;&gt;"WREF",1,0)</f>
        <v>1</v>
      </c>
      <c r="AV99" s="139">
        <f>IF(VLOOKUP(AV$2,'TIS Site Config'!$A$3:$AQ$51,1,FALSE)&lt;&gt;"WREF",1,0)</f>
        <v>1</v>
      </c>
      <c r="AW99" s="139">
        <f>IF(VLOOKUP(AW$2,'TIS Site Config'!$A$3:$AQ$51,1,FALSE)&lt;&gt;"WREF",1,0)</f>
        <v>0</v>
      </c>
      <c r="AX99" s="240">
        <f>IF(VLOOKUP(AX$2,'TIS Site Config'!$A$3:$AQ$51,1,FALSE)&lt;&gt;"WREF",1,0)</f>
        <v>1</v>
      </c>
      <c r="AY99" s="139">
        <f>IF(VLOOKUP(AY$2,'TIS Site Config'!$A$3:$AQ$51,1,FALSE)&lt;&gt;"WREF",1,0)</f>
        <v>1</v>
      </c>
      <c r="AZ99" s="239">
        <f>IF(VLOOKUP(AZ$2,'TIS Site Config'!$A$3:$AQ$51,1,FALSE)&lt;&gt;"WREF",1,0)</f>
        <v>1</v>
      </c>
      <c r="BA99" s="241">
        <f>IF(VLOOKUP(BA$2,'TIS Site Config'!$A$3:$AQ$51,1,FALSE)&lt;&gt;"WREF",1,0)</f>
        <v>1</v>
      </c>
      <c r="BB99" s="139">
        <f>IF(VLOOKUP(BB$2,'TIS Site Config'!$A$3:$AQ$51,1,FALSE)&lt;&gt;"WREF",1,0)</f>
        <v>1</v>
      </c>
      <c r="BC99" s="240">
        <f>IF(VLOOKUP(BC$2,'TIS Site Config'!$A$3:$AQ$51,1,FALSE)&lt;&gt;"WREF",1,0)</f>
        <v>1</v>
      </c>
      <c r="BD99" s="139">
        <f>IF(VLOOKUP(BD$2,'TIS Site Config'!$A$3:$AQ$51,1,FALSE)&lt;&gt;"WREF",1,0)</f>
        <v>1</v>
      </c>
      <c r="BE99" s="239">
        <f>IF(VLOOKUP(BE$2,'TIS Site Config'!$A$3:$AQ$51,1,FALSE)&lt;&gt;"WREF",1,0)</f>
        <v>1</v>
      </c>
      <c r="BF99" s="240">
        <f>IF(VLOOKUP(BF$2,'TIS Site Config'!$A$3:$AQ$51,1,FALSE)&lt;&gt;"WREF",1,0)</f>
        <v>1</v>
      </c>
      <c r="BG99" s="65">
        <f>IF(VLOOKUP(BG$2,'TIS Site Config'!$A$3:$AQ$51,1,FALSE)&lt;&gt;"WREF",1,0)</f>
        <v>1</v>
      </c>
      <c r="BH99" s="65">
        <f>IF(VLOOKUP(BH$2,'TIS Site Config'!$A$3:$AQ$51,1,FALSE)&lt;&gt;"WREF",1,0)</f>
        <v>1</v>
      </c>
      <c r="BI99" s="10" t="s">
        <v>969</v>
      </c>
      <c r="BK99" s="10">
        <v>59</v>
      </c>
      <c r="BL99" s="950" t="b">
        <f t="shared" si="6"/>
        <v>0</v>
      </c>
      <c r="BO99" s="950"/>
    </row>
    <row r="100" spans="1:67" s="44" customFormat="1" ht="15.75" thickBot="1" x14ac:dyDescent="0.3">
      <c r="A100" s="1366"/>
      <c r="B100" s="1375"/>
      <c r="C100" s="325" t="s">
        <v>579</v>
      </c>
      <c r="D100" s="68">
        <v>4</v>
      </c>
      <c r="E100" s="116" t="s">
        <v>580</v>
      </c>
      <c r="F100" s="68">
        <f t="shared" si="5"/>
        <v>1</v>
      </c>
      <c r="G100" s="444"/>
      <c r="H100" s="445"/>
      <c r="I100" s="445"/>
      <c r="J100" s="445"/>
      <c r="K100" s="446"/>
      <c r="L100" s="489"/>
      <c r="M100" s="135">
        <f>IF(VLOOKUP(M$2,'TIS Site Config'!$A$3:$AQ$51,1,FALSE)="WREF",1,0)</f>
        <v>0</v>
      </c>
      <c r="N100" s="217">
        <f>IF(VLOOKUP(N$2,'TIS Site Config'!$A$3:$AQ$51,1,FALSE)="WREF",1,0)</f>
        <v>0</v>
      </c>
      <c r="O100" s="221">
        <f>IF(VLOOKUP(O$2,'TIS Site Config'!$A$3:$AQ$51,1,FALSE)="WREF",1,0)</f>
        <v>0</v>
      </c>
      <c r="P100" s="216">
        <f>IF(VLOOKUP(P$2,'TIS Site Config'!$A$3:$AQ$51,1,FALSE)="WREF",1,0)</f>
        <v>0</v>
      </c>
      <c r="Q100" s="217">
        <f>IF(VLOOKUP(Q$2,'TIS Site Config'!$A$3:$AQ$51,1,FALSE)="WREF",1,0)</f>
        <v>0</v>
      </c>
      <c r="R100" s="135">
        <f>IF(VLOOKUP(R$2,'TIS Site Config'!$A$3:$AQ$51,1,FALSE)="WREF",1,0)</f>
        <v>0</v>
      </c>
      <c r="S100" s="216">
        <f>IF(VLOOKUP(S$2,'TIS Site Config'!$A$3:$AQ$51,1,FALSE)="WREF",1,0)</f>
        <v>0</v>
      </c>
      <c r="T100" s="217">
        <f>IF(VLOOKUP(T$2,'TIS Site Config'!$A$3:$AQ$51,1,FALSE)="WREF",1,0)</f>
        <v>0</v>
      </c>
      <c r="U100" s="135">
        <f>IF(VLOOKUP(U$2,'TIS Site Config'!$A$3:$AQ$51,1,FALSE)="WREF",1,0)</f>
        <v>0</v>
      </c>
      <c r="V100" s="217">
        <f>IF(VLOOKUP(V$2,'TIS Site Config'!$A$3:$AQ$51,1,FALSE)="WREF",1,0)</f>
        <v>0</v>
      </c>
      <c r="W100" s="220">
        <f>IF(VLOOKUP(W$2,'TIS Site Config'!$A$3:$AQ$51,1,FALSE)="WREF",1,0)</f>
        <v>0</v>
      </c>
      <c r="X100" s="216">
        <f>IF(VLOOKUP(X$2,'TIS Site Config'!$A$3:$AQ$51,1,FALSE)="WREF",1,0)</f>
        <v>0</v>
      </c>
      <c r="Y100" s="217">
        <f>IF(VLOOKUP(Y$2,'TIS Site Config'!$A$3:$AQ$51,1,FALSE)="WREF",1,0)</f>
        <v>0</v>
      </c>
      <c r="Z100" s="135">
        <f>IF(VLOOKUP(Z$2,'TIS Site Config'!$A$3:$AQ$51,1,FALSE)="WREF",1,0)</f>
        <v>0</v>
      </c>
      <c r="AA100" s="216">
        <f>IF(VLOOKUP(AA$2,'TIS Site Config'!$A$3:$AQ$51,1,FALSE)="WREF",1,0)</f>
        <v>0</v>
      </c>
      <c r="AB100" s="217">
        <f>IF(VLOOKUP(AB$2,'TIS Site Config'!$A$3:$AQ$51,1,FALSE)="WREF",1,0)</f>
        <v>0</v>
      </c>
      <c r="AC100" s="216">
        <f>IF(VLOOKUP(AC$2,'TIS Site Config'!$A$3:$AQ$51,1,FALSE)="WREF",1,0)</f>
        <v>0</v>
      </c>
      <c r="AD100" s="218">
        <f>IF(VLOOKUP(AD$2,'TIS Site Config'!$A$3:$AQ$51,1,FALSE)="WREF",1,0)</f>
        <v>0</v>
      </c>
      <c r="AE100" s="218">
        <f>IF(VLOOKUP(AE$2,'TIS Site Config'!$A$3:$AQ$51,1,FALSE)="WREF",1,0)</f>
        <v>0</v>
      </c>
      <c r="AF100" s="1000">
        <f>IF(VLOOKUP(AF$2,'TIS Site Config'!$A$3:$AQ$51,1,FALSE)="WREF",1,0)</f>
        <v>0</v>
      </c>
      <c r="AG100" s="216">
        <f>IF(VLOOKUP(AG$2,'TIS Site Config'!$A$3:$AQ$51,1,FALSE)="WREF",1,0)</f>
        <v>0</v>
      </c>
      <c r="AH100" s="217">
        <f>IF(VLOOKUP(AH$2,'TIS Site Config'!$A$3:$AQ$51,1,FALSE)="WREF",1,0)</f>
        <v>0</v>
      </c>
      <c r="AI100" s="135">
        <f>IF(VLOOKUP(AI$2,'TIS Site Config'!$A$3:$AQ$51,1,FALSE)="WREF",1,0)</f>
        <v>0</v>
      </c>
      <c r="AJ100" s="216">
        <f>IF(VLOOKUP(AJ$2,'TIS Site Config'!$A$3:$AQ$51,1,FALSE)="WREF",1,0)</f>
        <v>0</v>
      </c>
      <c r="AK100" s="217">
        <f>IF(VLOOKUP(AK$2,'TIS Site Config'!$A$3:$AQ$51,1,FALSE)="WREF",1,0)</f>
        <v>0</v>
      </c>
      <c r="AL100" s="135">
        <f>IF(VLOOKUP(AL$2,'TIS Site Config'!$A$3:$AQ$51,1,FALSE)="WREF",1,0)</f>
        <v>0</v>
      </c>
      <c r="AM100" s="216">
        <f>IF(VLOOKUP(AM$2,'TIS Site Config'!$A$3:$AQ$51,1,FALSE)="WREF",1,0)</f>
        <v>0</v>
      </c>
      <c r="AN100" s="217">
        <f>IF(VLOOKUP(AN$2,'TIS Site Config'!$A$3:$AQ$51,1,FALSE)="WREF",1,0)</f>
        <v>0</v>
      </c>
      <c r="AO100" s="135">
        <f>IF(VLOOKUP(AO$2,'TIS Site Config'!$A$3:$AQ$51,1,FALSE)="WREF",1,0)</f>
        <v>0</v>
      </c>
      <c r="AP100" s="216">
        <f>IF(VLOOKUP(AP$2,'TIS Site Config'!$A$3:$AQ$51,1,FALSE)="WREF",1,0)</f>
        <v>0</v>
      </c>
      <c r="AQ100" s="135">
        <f>IF(VLOOKUP(AQ$2,'TIS Site Config'!$A$3:$AQ$51,1,FALSE)="WREF",1,0)</f>
        <v>0</v>
      </c>
      <c r="AR100" s="135">
        <f>IF(VLOOKUP(AR$2,'TIS Site Config'!$A$3:$AQ$51,1,FALSE)="WREF",1,0)</f>
        <v>0</v>
      </c>
      <c r="AS100" s="216">
        <f>IF(VLOOKUP(AS$2,'TIS Site Config'!$A$3:$AQ$51,1,FALSE)="WREF",1,0)</f>
        <v>0</v>
      </c>
      <c r="AT100" s="135">
        <f>IF(VLOOKUP(AT$2,'TIS Site Config'!$A$3:$AQ$51,1,FALSE)="WREF",1,0)</f>
        <v>0</v>
      </c>
      <c r="AU100" s="216">
        <f>IF(VLOOKUP(AU$2,'TIS Site Config'!$A$3:$AQ$51,1,FALSE)="WREF",1,0)</f>
        <v>0</v>
      </c>
      <c r="AV100" s="135">
        <f>IF(VLOOKUP(AV$2,'TIS Site Config'!$A$3:$AQ$51,1,FALSE)="WREF",1,0)</f>
        <v>0</v>
      </c>
      <c r="AW100" s="135">
        <f>IF(VLOOKUP(AW$2,'TIS Site Config'!$A$3:$AQ$51,1,FALSE)="WREF",1,0)</f>
        <v>1</v>
      </c>
      <c r="AX100" s="217">
        <f>IF(VLOOKUP(AX$2,'TIS Site Config'!$A$3:$AQ$51,1,FALSE)="WREF",1,0)</f>
        <v>0</v>
      </c>
      <c r="AY100" s="135">
        <f>IF(VLOOKUP(AY$2,'TIS Site Config'!$A$3:$AQ$51,1,FALSE)="WREF",1,0)</f>
        <v>0</v>
      </c>
      <c r="AZ100" s="216">
        <f>IF(VLOOKUP(AZ$2,'TIS Site Config'!$A$3:$AQ$51,1,FALSE)="WREF",1,0)</f>
        <v>0</v>
      </c>
      <c r="BA100" s="218">
        <f>IF(VLOOKUP(BA$2,'TIS Site Config'!$A$3:$AQ$51,1,FALSE)="WREF",1,0)</f>
        <v>0</v>
      </c>
      <c r="BB100" s="135">
        <f>IF(VLOOKUP(BB$2,'TIS Site Config'!$A$3:$AQ$51,1,FALSE)="WREF",1,0)</f>
        <v>0</v>
      </c>
      <c r="BC100" s="217">
        <f>IF(VLOOKUP(BC$2,'TIS Site Config'!$A$3:$AQ$51,1,FALSE)="WREF",1,0)</f>
        <v>0</v>
      </c>
      <c r="BD100" s="135">
        <f>IF(VLOOKUP(BD$2,'TIS Site Config'!$A$3:$AQ$51,1,FALSE)="WREF",1,0)</f>
        <v>0</v>
      </c>
      <c r="BE100" s="216">
        <f>IF(VLOOKUP(BE$2,'TIS Site Config'!$A$3:$AQ$51,1,FALSE)="WREF",1,0)</f>
        <v>0</v>
      </c>
      <c r="BF100" s="217">
        <f>IF(VLOOKUP(BF$2,'TIS Site Config'!$A$3:$AQ$51,1,FALSE)="WREF",1,0)</f>
        <v>0</v>
      </c>
      <c r="BG100" s="219">
        <f>IF(VLOOKUP(BG$2,'TIS Site Config'!$A$3:$AQ$51,1,FALSE)="WREF",1,0)</f>
        <v>0</v>
      </c>
      <c r="BH100" s="219">
        <f>IF(VLOOKUP(BH$2,'TIS Site Config'!$A$3:$AQ$51,1,FALSE)="WREF",1,0)</f>
        <v>0</v>
      </c>
      <c r="BK100" s="44">
        <v>1</v>
      </c>
      <c r="BL100" s="950" t="b">
        <f t="shared" si="6"/>
        <v>1</v>
      </c>
      <c r="BO100" s="950"/>
    </row>
    <row r="101" spans="1:67" s="10" customFormat="1" ht="16.5" thickTop="1" thickBot="1" x14ac:dyDescent="0.3">
      <c r="A101" s="1366"/>
      <c r="B101" s="51" t="s">
        <v>350</v>
      </c>
      <c r="C101" s="67" t="s">
        <v>415</v>
      </c>
      <c r="D101" s="92">
        <v>3</v>
      </c>
      <c r="E101" s="116" t="s">
        <v>404</v>
      </c>
      <c r="F101" s="68">
        <f t="shared" si="5"/>
        <v>6</v>
      </c>
      <c r="G101" s="444"/>
      <c r="H101" s="445"/>
      <c r="I101" s="445"/>
      <c r="J101" s="445"/>
      <c r="K101" s="446"/>
      <c r="L101" s="489"/>
      <c r="M101" s="142">
        <f>IF(
          LEFT(VLOOKUP(M$2,'TIS Site Config'!$A$3:$AQ$51,32,FALSE),1)="Y",
                              1,0)</f>
        <v>0</v>
      </c>
      <c r="N101" s="258">
        <f>IF(
          LEFT(VLOOKUP(N$2,'TIS Site Config'!$A$3:$AQ$51,32,FALSE),1)="Y",
                              1,0)</f>
        <v>0</v>
      </c>
      <c r="O101" s="261">
        <f>IF(
          LEFT(VLOOKUP(O$2,'TIS Site Config'!$A$3:$AQ$51,32,FALSE),1)="Y",
                              1,0)</f>
        <v>0</v>
      </c>
      <c r="P101" s="257">
        <f>IF(
          LEFT(VLOOKUP(P$2,'TIS Site Config'!$A$3:$AQ$51,32,FALSE),1)="Y",
                              1,0)</f>
        <v>0</v>
      </c>
      <c r="Q101" s="258">
        <f>IF(
          LEFT(VLOOKUP(Q$2,'TIS Site Config'!$A$3:$AQ$51,32,FALSE),1)="Y",
                              1,0)</f>
        <v>0</v>
      </c>
      <c r="R101" s="142">
        <f>IF(
          LEFT(VLOOKUP(R$2,'TIS Site Config'!$A$3:$AQ$51,32,FALSE),1)="Y",
                              1,0)</f>
        <v>0</v>
      </c>
      <c r="S101" s="257">
        <f>IF(
          LEFT(VLOOKUP(S$2,'TIS Site Config'!$A$3:$AQ$51,32,FALSE),1)="Y",
                              1,0)</f>
        <v>0</v>
      </c>
      <c r="T101" s="258">
        <f>IF(
          LEFT(VLOOKUP(T$2,'TIS Site Config'!$A$3:$AQ$51,32,FALSE),1)="Y",
                              1,0)</f>
        <v>0</v>
      </c>
      <c r="U101" s="142">
        <f>IF(
          LEFT(VLOOKUP(U$2,'TIS Site Config'!$A$3:$AQ$51,32,FALSE),1)="Y",
                              1,0)</f>
        <v>0</v>
      </c>
      <c r="V101" s="258">
        <f>IF(
          LEFT(VLOOKUP(V$2,'TIS Site Config'!$A$3:$AQ$51,32,FALSE),1)="Y",
                              1,0)</f>
        <v>0</v>
      </c>
      <c r="W101" s="260">
        <f>IF(
          LEFT(VLOOKUP(W$2,'TIS Site Config'!$A$3:$AQ$51,32,FALSE),1)="Y",
                              1,0)</f>
        <v>0</v>
      </c>
      <c r="X101" s="257">
        <f>IF(
          LEFT(VLOOKUP(X$2,'TIS Site Config'!$A$3:$AQ$51,32,FALSE),1)="Y",
                              1,0)</f>
        <v>0</v>
      </c>
      <c r="Y101" s="258">
        <f>IF(
          LEFT(VLOOKUP(Y$2,'TIS Site Config'!$A$3:$AQ$51,32,FALSE),1)="Y",
                              1,0)</f>
        <v>0</v>
      </c>
      <c r="Z101" s="142">
        <f>IF(
          LEFT(VLOOKUP(Z$2,'TIS Site Config'!$A$3:$AQ$51,32,FALSE),1)="Y",
                              1,0)</f>
        <v>0</v>
      </c>
      <c r="AA101" s="257">
        <f>IF(
          LEFT(VLOOKUP(AA$2,'TIS Site Config'!$A$3:$AQ$51,32,FALSE),1)="Y",
                              1,0)</f>
        <v>0</v>
      </c>
      <c r="AB101" s="258">
        <f>IF(
          LEFT(VLOOKUP(AB$2,'TIS Site Config'!$A$3:$AQ$51,32,FALSE),1)="Y",
                              1,0)</f>
        <v>0</v>
      </c>
      <c r="AC101" s="257">
        <f>IF(
          LEFT(VLOOKUP(AC$2,'TIS Site Config'!$A$3:$AQ$51,32,FALSE),1)="Y",
                              1,0)</f>
        <v>0</v>
      </c>
      <c r="AD101" s="259">
        <f>IF(
          LEFT(VLOOKUP(AD$2,'TIS Site Config'!$A$3:$AQ$51,32,FALSE),1)="Y",
                              1,0)</f>
        <v>0</v>
      </c>
      <c r="AE101" s="259">
        <f>IF(
          LEFT(VLOOKUP(AE$2,'TIS Site Config'!$A$3:$AQ$51,32,FALSE),1)="Y",
                              1,0)</f>
        <v>0</v>
      </c>
      <c r="AF101" s="1001">
        <f>IF(
          LEFT(VLOOKUP(AF$2,'TIS Site Config'!$A$3:$AQ$51,32,FALSE),1)="Y",
                              1,0)</f>
        <v>0</v>
      </c>
      <c r="AG101" s="257">
        <f>IF(
          LEFT(VLOOKUP(AG$2,'TIS Site Config'!$A$3:$AQ$51,32,FALSE),1)="Y",
                              1,0)</f>
        <v>0</v>
      </c>
      <c r="AH101" s="258">
        <f>IF(
          LEFT(VLOOKUP(AH$2,'TIS Site Config'!$A$3:$AQ$51,32,FALSE),1)="Y",
                              1,0)</f>
        <v>0</v>
      </c>
      <c r="AI101" s="142">
        <f>IF(
          LEFT(VLOOKUP(AI$2,'TIS Site Config'!$A$3:$AQ$51,32,FALSE),1)="Y",
                              1,0)</f>
        <v>0</v>
      </c>
      <c r="AJ101" s="257">
        <f>IF(
          LEFT(VLOOKUP(AJ$2,'TIS Site Config'!$A$3:$AQ$51,32,FALSE),1)="Y",
                              1,0)</f>
        <v>0</v>
      </c>
      <c r="AK101" s="258">
        <f>IF(
          LEFT(VLOOKUP(AK$2,'TIS Site Config'!$A$3:$AQ$51,32,FALSE),1)="Y",
                              1,0)</f>
        <v>0</v>
      </c>
      <c r="AL101" s="1063">
        <f>IF(
          LEFT(VLOOKUP(AL$2,'TIS Site Config'!$A$3:$AQ$51,32,FALSE),1)="Y",
                              1,0)</f>
        <v>1</v>
      </c>
      <c r="AM101" s="257">
        <f>IF(
          LEFT(VLOOKUP(AM$2,'TIS Site Config'!$A$3:$AQ$51,32,FALSE),1)="Y",
                              1,0)</f>
        <v>1</v>
      </c>
      <c r="AN101" s="258">
        <f>IF(
          LEFT(VLOOKUP(AN$2,'TIS Site Config'!$A$3:$AQ$51,32,FALSE),1)="Y",
                              1,0)</f>
        <v>1</v>
      </c>
      <c r="AO101" s="142">
        <f>IF(
          LEFT(VLOOKUP(AO$2,'TIS Site Config'!$A$3:$AQ$51,32,FALSE),1)="Y",
                              1,0)</f>
        <v>0</v>
      </c>
      <c r="AP101" s="257">
        <f>IF(
          LEFT(VLOOKUP(AP$2,'TIS Site Config'!$A$3:$AQ$51,32,FALSE),1)="Y",
                              1,0)</f>
        <v>0</v>
      </c>
      <c r="AQ101" s="142">
        <f>IF(
          LEFT(VLOOKUP(AQ$2,'TIS Site Config'!$A$3:$AQ$51,32,FALSE),1)="Y",
                              1,0)</f>
        <v>0</v>
      </c>
      <c r="AR101" s="142">
        <f>IF(
          LEFT(VLOOKUP(AR$2,'TIS Site Config'!$A$3:$AQ$51,32,FALSE),1)="Y",
                              1,0)</f>
        <v>1</v>
      </c>
      <c r="AS101" s="257">
        <f>IF(
          LEFT(VLOOKUP(AS$2,'TIS Site Config'!$A$3:$AQ$51,32,FALSE),1)="Y",
                              1,0)</f>
        <v>1</v>
      </c>
      <c r="AT101" s="142">
        <f>IF(
          LEFT(VLOOKUP(AT$2,'TIS Site Config'!$A$3:$AQ$51,32,FALSE),1)="Y",
                              1,0)</f>
        <v>0</v>
      </c>
      <c r="AU101" s="257">
        <f>IF(
          LEFT(VLOOKUP(AU$2,'TIS Site Config'!$A$3:$AQ$51,32,FALSE),1)="Y",
                              1,0)</f>
        <v>0</v>
      </c>
      <c r="AV101" s="142">
        <f>IF(
          LEFT(VLOOKUP(AV$2,'TIS Site Config'!$A$3:$AQ$51,32,FALSE),1)="Y",
                              1,0)</f>
        <v>1</v>
      </c>
      <c r="AW101" s="142">
        <f>IF(
          LEFT(VLOOKUP(AW$2,'TIS Site Config'!$A$3:$AQ$51,32,FALSE),1)="Y",
                              1,0)</f>
        <v>0</v>
      </c>
      <c r="AX101" s="258">
        <f>IF(
          LEFT(VLOOKUP(AX$2,'TIS Site Config'!$A$3:$AQ$51,32,FALSE),1)="Y",
                              1,0)</f>
        <v>0</v>
      </c>
      <c r="AY101" s="142">
        <f>IF(
          LEFT(VLOOKUP(AY$2,'TIS Site Config'!$A$3:$AQ$51,32,FALSE),1)="Y",
                              1,0)</f>
        <v>0</v>
      </c>
      <c r="AZ101" s="257">
        <f>IF(
          LEFT(VLOOKUP(AZ$2,'TIS Site Config'!$A$3:$AQ$51,32,FALSE),1)="Y",
                              1,0)</f>
        <v>0</v>
      </c>
      <c r="BA101" s="259">
        <f>IF(
          LEFT(VLOOKUP(BA$2,'TIS Site Config'!$A$3:$AQ$51,32,FALSE),1)="Y",
                              1,0)</f>
        <v>0</v>
      </c>
      <c r="BB101" s="142">
        <f>IF(
          LEFT(VLOOKUP(BB$2,'TIS Site Config'!$A$3:$AQ$51,32,FALSE),1)="Y",
                              1,0)</f>
        <v>0</v>
      </c>
      <c r="BC101" s="258">
        <f>IF(
          LEFT(VLOOKUP(BC$2,'TIS Site Config'!$A$3:$AQ$51,32,FALSE),1)="Y",
                              1,0)</f>
        <v>0</v>
      </c>
      <c r="BD101" s="142">
        <f>IF(
          LEFT(VLOOKUP(BD$2,'TIS Site Config'!$A$3:$AQ$51,32,FALSE),1)="Y",
                              1,0)</f>
        <v>0</v>
      </c>
      <c r="BE101" s="257">
        <f>IF(
          LEFT(VLOOKUP(BE$2,'TIS Site Config'!$A$3:$AQ$51,32,FALSE),1)="Y",
                              1,0)</f>
        <v>0</v>
      </c>
      <c r="BF101" s="258">
        <f>IF(
          LEFT(VLOOKUP(BF$2,'TIS Site Config'!$A$3:$AQ$51,32,FALSE),1)="Y",
                              1,0)</f>
        <v>0</v>
      </c>
      <c r="BG101" s="68">
        <f>IF(
          LEFT(VLOOKUP(BG$2,'TIS Site Config'!$A$3:$AQ$51,32,FALSE),1)="Y",
                              1,0)</f>
        <v>0</v>
      </c>
      <c r="BH101" s="68">
        <f>IF(
          LEFT(VLOOKUP(BH$2,'TIS Site Config'!$A$3:$AQ$51,32,FALSE),1)="Y",
                              1,0)</f>
        <v>1</v>
      </c>
      <c r="BK101" s="10">
        <v>9</v>
      </c>
      <c r="BL101" s="950" t="b">
        <f t="shared" ref="BL101:BL105" si="7">F101=BK101</f>
        <v>0</v>
      </c>
      <c r="BO101" s="950"/>
    </row>
    <row r="102" spans="1:67" s="10" customFormat="1" ht="16.5" thickTop="1" thickBot="1" x14ac:dyDescent="0.3">
      <c r="A102" s="1366"/>
      <c r="B102" s="51" t="s">
        <v>349</v>
      </c>
      <c r="C102" s="67" t="s">
        <v>416</v>
      </c>
      <c r="D102" s="92">
        <v>3</v>
      </c>
      <c r="E102" s="116" t="s">
        <v>409</v>
      </c>
      <c r="F102" s="68">
        <f t="shared" si="5"/>
        <v>6</v>
      </c>
      <c r="G102" s="444"/>
      <c r="H102" s="445"/>
      <c r="I102" s="445">
        <v>1</v>
      </c>
      <c r="J102" s="445"/>
      <c r="K102" s="446"/>
      <c r="L102" s="489"/>
      <c r="M102" s="142">
        <f>IF(
          LEFT(VLOOKUP(M$2,'TIS Site Config'!$A$3:$AQ$51,32,FALSE),1)="Y",
                              1,0)</f>
        <v>0</v>
      </c>
      <c r="N102" s="258">
        <f>IF(
          LEFT(VLOOKUP(N$2,'TIS Site Config'!$A$3:$AQ$51,32,FALSE),1)="Y",
                              1,0)</f>
        <v>0</v>
      </c>
      <c r="O102" s="261">
        <f>IF(
          LEFT(VLOOKUP(O$2,'TIS Site Config'!$A$3:$AQ$51,32,FALSE),1)="Y",
                              1,0)</f>
        <v>0</v>
      </c>
      <c r="P102" s="257">
        <f>IF(
          LEFT(VLOOKUP(P$2,'TIS Site Config'!$A$3:$AQ$51,32,FALSE),1)="Y",
                              1,0)</f>
        <v>0</v>
      </c>
      <c r="Q102" s="258">
        <f>IF(
          LEFT(VLOOKUP(Q$2,'TIS Site Config'!$A$3:$AQ$51,32,FALSE),1)="Y",
                              1,0)</f>
        <v>0</v>
      </c>
      <c r="R102" s="142">
        <f>IF(
          LEFT(VLOOKUP(R$2,'TIS Site Config'!$A$3:$AQ$51,32,FALSE),1)="Y",
                              1,0)</f>
        <v>0</v>
      </c>
      <c r="S102" s="257">
        <f>IF(
          LEFT(VLOOKUP(S$2,'TIS Site Config'!$A$3:$AQ$51,32,FALSE),1)="Y",
                              1,0)</f>
        <v>0</v>
      </c>
      <c r="T102" s="258">
        <f>IF(
          LEFT(VLOOKUP(T$2,'TIS Site Config'!$A$3:$AQ$51,32,FALSE),1)="Y",
                              1,0)</f>
        <v>0</v>
      </c>
      <c r="U102" s="142">
        <f>IF(
          LEFT(VLOOKUP(U$2,'TIS Site Config'!$A$3:$AQ$51,32,FALSE),1)="Y",
                              1,0)</f>
        <v>0</v>
      </c>
      <c r="V102" s="258">
        <f>IF(
          LEFT(VLOOKUP(V$2,'TIS Site Config'!$A$3:$AQ$51,32,FALSE),1)="Y",
                              1,0)</f>
        <v>0</v>
      </c>
      <c r="W102" s="260">
        <f>IF(
          LEFT(VLOOKUP(W$2,'TIS Site Config'!$A$3:$AQ$51,32,FALSE),1)="Y",
                              1,0)</f>
        <v>0</v>
      </c>
      <c r="X102" s="257">
        <f>IF(
          LEFT(VLOOKUP(X$2,'TIS Site Config'!$A$3:$AQ$51,32,FALSE),1)="Y",
                              1,0)</f>
        <v>0</v>
      </c>
      <c r="Y102" s="258">
        <f>IF(
          LEFT(VLOOKUP(Y$2,'TIS Site Config'!$A$3:$AQ$51,32,FALSE),1)="Y",
                              1,0)</f>
        <v>0</v>
      </c>
      <c r="Z102" s="142">
        <f>IF(
          LEFT(VLOOKUP(Z$2,'TIS Site Config'!$A$3:$AQ$51,32,FALSE),1)="Y",
                              1,0)</f>
        <v>0</v>
      </c>
      <c r="AA102" s="257">
        <f>IF(
          LEFT(VLOOKUP(AA$2,'TIS Site Config'!$A$3:$AQ$51,32,FALSE),1)="Y",
                              1,0)</f>
        <v>0</v>
      </c>
      <c r="AB102" s="258">
        <f>IF(
          LEFT(VLOOKUP(AB$2,'TIS Site Config'!$A$3:$AQ$51,32,FALSE),1)="Y",
                              1,0)</f>
        <v>0</v>
      </c>
      <c r="AC102" s="257">
        <f>IF(
          LEFT(VLOOKUP(AC$2,'TIS Site Config'!$A$3:$AQ$51,32,FALSE),1)="Y",
                              1,0)</f>
        <v>0</v>
      </c>
      <c r="AD102" s="259">
        <f>IF(
          LEFT(VLOOKUP(AD$2,'TIS Site Config'!$A$3:$AQ$51,32,FALSE),1)="Y",
                              1,0)</f>
        <v>0</v>
      </c>
      <c r="AE102" s="259">
        <f>IF(
          LEFT(VLOOKUP(AE$2,'TIS Site Config'!$A$3:$AQ$51,32,FALSE),1)="Y",
                              1,0)</f>
        <v>0</v>
      </c>
      <c r="AF102" s="1001">
        <f>IF(
          LEFT(VLOOKUP(AF$2,'TIS Site Config'!$A$3:$AQ$51,32,FALSE),1)="Y",
                              1,0)</f>
        <v>0</v>
      </c>
      <c r="AG102" s="257">
        <f>IF(
          LEFT(VLOOKUP(AG$2,'TIS Site Config'!$A$3:$AQ$51,32,FALSE),1)="Y",
                              1,0)</f>
        <v>0</v>
      </c>
      <c r="AH102" s="258">
        <f>IF(
          LEFT(VLOOKUP(AH$2,'TIS Site Config'!$A$3:$AQ$51,32,FALSE),1)="Y",
                              1,0)</f>
        <v>0</v>
      </c>
      <c r="AI102" s="142">
        <f>IF(
          LEFT(VLOOKUP(AI$2,'TIS Site Config'!$A$3:$AQ$51,32,FALSE),1)="Y",
                              1,0)</f>
        <v>0</v>
      </c>
      <c r="AJ102" s="257">
        <f>IF(
          LEFT(VLOOKUP(AJ$2,'TIS Site Config'!$A$3:$AQ$51,32,FALSE),1)="Y",
                              1,0)</f>
        <v>0</v>
      </c>
      <c r="AK102" s="258">
        <f>IF(
          LEFT(VLOOKUP(AK$2,'TIS Site Config'!$A$3:$AQ$51,32,FALSE),1)="Y",
                              1,0)</f>
        <v>0</v>
      </c>
      <c r="AL102" s="1063">
        <f>IF(
          LEFT(VLOOKUP(AL$2,'TIS Site Config'!$A$3:$AQ$51,32,FALSE),1)="Y",
                              1,0)</f>
        <v>1</v>
      </c>
      <c r="AM102" s="257">
        <f>IF(
          LEFT(VLOOKUP(AM$2,'TIS Site Config'!$A$3:$AQ$51,32,FALSE),1)="Y",
                              1,0)</f>
        <v>1</v>
      </c>
      <c r="AN102" s="258">
        <f>IF(
          LEFT(VLOOKUP(AN$2,'TIS Site Config'!$A$3:$AQ$51,32,FALSE),1)="Y",
                              1,0)</f>
        <v>1</v>
      </c>
      <c r="AO102" s="142">
        <f>IF(
          LEFT(VLOOKUP(AO$2,'TIS Site Config'!$A$3:$AQ$51,32,FALSE),1)="Y",
                              1,0)</f>
        <v>0</v>
      </c>
      <c r="AP102" s="257">
        <f>IF(
          LEFT(VLOOKUP(AP$2,'TIS Site Config'!$A$3:$AQ$51,32,FALSE),1)="Y",
                              1,0)</f>
        <v>0</v>
      </c>
      <c r="AQ102" s="142">
        <f>IF(
          LEFT(VLOOKUP(AQ$2,'TIS Site Config'!$A$3:$AQ$51,32,FALSE),1)="Y",
                              1,0)</f>
        <v>0</v>
      </c>
      <c r="AR102" s="142">
        <f>IF(
          LEFT(VLOOKUP(AR$2,'TIS Site Config'!$A$3:$AQ$51,32,FALSE),1)="Y",
                              1,0)</f>
        <v>1</v>
      </c>
      <c r="AS102" s="257">
        <f>IF(
          LEFT(VLOOKUP(AS$2,'TIS Site Config'!$A$3:$AQ$51,32,FALSE),1)="Y",
                              1,0)</f>
        <v>1</v>
      </c>
      <c r="AT102" s="142">
        <f>IF(
          LEFT(VLOOKUP(AT$2,'TIS Site Config'!$A$3:$AQ$51,32,FALSE),1)="Y",
                              1,0)</f>
        <v>0</v>
      </c>
      <c r="AU102" s="257">
        <f>IF(
          LEFT(VLOOKUP(AU$2,'TIS Site Config'!$A$3:$AQ$51,32,FALSE),1)="Y",
                              1,0)</f>
        <v>0</v>
      </c>
      <c r="AV102" s="142">
        <f>IF(
          LEFT(VLOOKUP(AV$2,'TIS Site Config'!$A$3:$AQ$51,32,FALSE),1)="Y",
                              1,0)</f>
        <v>1</v>
      </c>
      <c r="AW102" s="142">
        <f>IF(
          LEFT(VLOOKUP(AW$2,'TIS Site Config'!$A$3:$AQ$51,32,FALSE),1)="Y",
                              1,0)</f>
        <v>0</v>
      </c>
      <c r="AX102" s="258">
        <f>IF(
          LEFT(VLOOKUP(AX$2,'TIS Site Config'!$A$3:$AQ$51,32,FALSE),1)="Y",
                              1,0)</f>
        <v>0</v>
      </c>
      <c r="AY102" s="142">
        <f>IF(
          LEFT(VLOOKUP(AY$2,'TIS Site Config'!$A$3:$AQ$51,32,FALSE),1)="Y",
                              1,0)</f>
        <v>0</v>
      </c>
      <c r="AZ102" s="257">
        <f>IF(
          LEFT(VLOOKUP(AZ$2,'TIS Site Config'!$A$3:$AQ$51,32,FALSE),1)="Y",
                              1,0)</f>
        <v>0</v>
      </c>
      <c r="BA102" s="259">
        <f>IF(
          LEFT(VLOOKUP(BA$2,'TIS Site Config'!$A$3:$AQ$51,32,FALSE),1)="Y",
                              1,0)</f>
        <v>0</v>
      </c>
      <c r="BB102" s="142">
        <f>IF(
          LEFT(VLOOKUP(BB$2,'TIS Site Config'!$A$3:$AQ$51,32,FALSE),1)="Y",
                              1,0)</f>
        <v>0</v>
      </c>
      <c r="BC102" s="258">
        <f>IF(
          LEFT(VLOOKUP(BC$2,'TIS Site Config'!$A$3:$AQ$51,32,FALSE),1)="Y",
                              1,0)</f>
        <v>0</v>
      </c>
      <c r="BD102" s="142">
        <f>IF(
          LEFT(VLOOKUP(BD$2,'TIS Site Config'!$A$3:$AQ$51,32,FALSE),1)="Y",
                              1,0)</f>
        <v>0</v>
      </c>
      <c r="BE102" s="257">
        <f>IF(
          LEFT(VLOOKUP(BE$2,'TIS Site Config'!$A$3:$AQ$51,32,FALSE),1)="Y",
                              1,0)</f>
        <v>0</v>
      </c>
      <c r="BF102" s="258">
        <f>IF(
          LEFT(VLOOKUP(BF$2,'TIS Site Config'!$A$3:$AQ$51,32,FALSE),1)="Y",
                              1,0)</f>
        <v>0</v>
      </c>
      <c r="BG102" s="68">
        <f>IF(
          LEFT(VLOOKUP(BG$2,'TIS Site Config'!$A$3:$AQ$51,32,FALSE),1)="Y",
                              1,0)</f>
        <v>0</v>
      </c>
      <c r="BH102" s="68">
        <f>IF(
          LEFT(VLOOKUP(BH$2,'TIS Site Config'!$A$3:$AQ$51,32,FALSE),1)="Y",
                              1,0)</f>
        <v>1</v>
      </c>
      <c r="BK102" s="10">
        <v>9</v>
      </c>
      <c r="BL102" s="950" t="b">
        <f t="shared" si="7"/>
        <v>0</v>
      </c>
      <c r="BO102" s="950"/>
    </row>
    <row r="103" spans="1:67" s="950" customFormat="1" ht="15.75" customHeight="1" thickTop="1" x14ac:dyDescent="0.25">
      <c r="A103" s="1366"/>
      <c r="B103" s="1373" t="s">
        <v>393</v>
      </c>
      <c r="C103" s="69" t="s">
        <v>1057</v>
      </c>
      <c r="D103" s="91">
        <v>3</v>
      </c>
      <c r="E103" s="85" t="s">
        <v>442</v>
      </c>
      <c r="F103" s="62">
        <f t="shared" si="5"/>
        <v>47</v>
      </c>
      <c r="G103" s="450"/>
      <c r="H103" s="451">
        <v>1</v>
      </c>
      <c r="I103" s="451"/>
      <c r="J103" s="451"/>
      <c r="K103" s="452"/>
      <c r="L103" s="491"/>
      <c r="M103" s="136">
        <f>1</f>
        <v>1</v>
      </c>
      <c r="N103" s="222">
        <f>1</f>
        <v>1</v>
      </c>
      <c r="O103" s="225">
        <f>1</f>
        <v>1</v>
      </c>
      <c r="P103" s="21">
        <f>1</f>
        <v>1</v>
      </c>
      <c r="Q103" s="222">
        <f>1</f>
        <v>1</v>
      </c>
      <c r="R103" s="136">
        <f>1</f>
        <v>1</v>
      </c>
      <c r="S103" s="21">
        <f>1</f>
        <v>1</v>
      </c>
      <c r="T103" s="222">
        <f>1</f>
        <v>1</v>
      </c>
      <c r="U103" s="136">
        <f>1</f>
        <v>1</v>
      </c>
      <c r="V103" s="222">
        <f>1</f>
        <v>1</v>
      </c>
      <c r="W103" s="224">
        <f>1</f>
        <v>1</v>
      </c>
      <c r="X103" s="21">
        <f>1</f>
        <v>1</v>
      </c>
      <c r="Y103" s="222">
        <f>1</f>
        <v>1</v>
      </c>
      <c r="Z103" s="136">
        <f>1</f>
        <v>1</v>
      </c>
      <c r="AA103" s="21">
        <f>1</f>
        <v>1</v>
      </c>
      <c r="AB103" s="222">
        <f>1</f>
        <v>1</v>
      </c>
      <c r="AC103" s="21">
        <f>1</f>
        <v>1</v>
      </c>
      <c r="AD103" s="223">
        <f>1</f>
        <v>1</v>
      </c>
      <c r="AE103" s="223">
        <f>1</f>
        <v>1</v>
      </c>
      <c r="AF103" s="16">
        <f>1</f>
        <v>1</v>
      </c>
      <c r="AG103" s="21">
        <f>1</f>
        <v>1</v>
      </c>
      <c r="AH103" s="222">
        <f>1</f>
        <v>1</v>
      </c>
      <c r="AI103" s="136">
        <f>1</f>
        <v>1</v>
      </c>
      <c r="AJ103" s="21">
        <f>1</f>
        <v>1</v>
      </c>
      <c r="AK103" s="222">
        <f>1</f>
        <v>1</v>
      </c>
      <c r="AL103" s="136">
        <f>1</f>
        <v>1</v>
      </c>
      <c r="AM103" s="21">
        <f>1</f>
        <v>1</v>
      </c>
      <c r="AN103" s="222">
        <f>1</f>
        <v>1</v>
      </c>
      <c r="AO103" s="136">
        <f>1</f>
        <v>1</v>
      </c>
      <c r="AP103" s="21">
        <f>1</f>
        <v>1</v>
      </c>
      <c r="AQ103" s="136">
        <f>1</f>
        <v>1</v>
      </c>
      <c r="AR103" s="136">
        <f>1</f>
        <v>1</v>
      </c>
      <c r="AS103" s="21">
        <f>1</f>
        <v>1</v>
      </c>
      <c r="AT103" s="136">
        <f>1</f>
        <v>1</v>
      </c>
      <c r="AU103" s="21">
        <f>1</f>
        <v>1</v>
      </c>
      <c r="AV103" s="136">
        <f>1</f>
        <v>1</v>
      </c>
      <c r="AW103" s="136">
        <f>1</f>
        <v>1</v>
      </c>
      <c r="AX103" s="222">
        <f>1</f>
        <v>1</v>
      </c>
      <c r="AY103" s="136">
        <f>1</f>
        <v>1</v>
      </c>
      <c r="AZ103" s="21">
        <f>1</f>
        <v>1</v>
      </c>
      <c r="BA103" s="223">
        <f>1</f>
        <v>1</v>
      </c>
      <c r="BB103" s="136">
        <f>1</f>
        <v>1</v>
      </c>
      <c r="BC103" s="222">
        <f>1</f>
        <v>1</v>
      </c>
      <c r="BD103" s="136">
        <f>1</f>
        <v>1</v>
      </c>
      <c r="BE103" s="21">
        <f>1</f>
        <v>1</v>
      </c>
      <c r="BF103" s="222">
        <f>1</f>
        <v>1</v>
      </c>
      <c r="BG103" s="62">
        <f>1</f>
        <v>1</v>
      </c>
      <c r="BH103" s="62">
        <f>1</f>
        <v>1</v>
      </c>
      <c r="BI103" s="950" t="s">
        <v>970</v>
      </c>
      <c r="BK103" s="950">
        <v>15</v>
      </c>
      <c r="BL103" s="950" t="b">
        <f t="shared" si="7"/>
        <v>0</v>
      </c>
    </row>
    <row r="104" spans="1:67" s="10" customFormat="1" x14ac:dyDescent="0.25">
      <c r="A104" s="1366"/>
      <c r="B104" s="1374"/>
      <c r="C104" s="69" t="s">
        <v>569</v>
      </c>
      <c r="D104" s="91">
        <v>3</v>
      </c>
      <c r="E104" s="85" t="s">
        <v>443</v>
      </c>
      <c r="F104" s="62">
        <f t="shared" si="5"/>
        <v>25</v>
      </c>
      <c r="G104" s="450"/>
      <c r="H104" s="451"/>
      <c r="I104" s="451"/>
      <c r="J104" s="451"/>
      <c r="K104" s="452">
        <v>2</v>
      </c>
      <c r="L104" s="491"/>
      <c r="M104" s="136">
        <f>IF(AND(VLOOKUP(M$2,'TIS Site Config'!$A$4:$AQ$51,3,FALSE)&lt;&gt;"Soft",
                   OR(VLOOKUP(M$2,'TIS Site Config'!$A$4:$AQ$51,6,FALSE)="Heated",
                           VLOOKUP(M$2,'TIS Site Config'!$A$4:$AQ$51,6,FALSE)="Non-Heated")),
   IF(OR(VLOOKUP(M$2,'TIS Site Config'!$A$3:$AQ$51,23,FALSE)="BA",
                VLOOKUP(M$2,'TIS Site Config'!$A$3:$AQ$51,23,FALSE)="AD",
                VLOOKUP(M$2,'TIS Site Config'!$A$3:$AQ$51,23,FALSE)="DC",
                VLOOKUP(M$2,'TIS Site Config'!$A$3:$AQ$51,23,FALSE)="CB"),
                         1,0),
0)</f>
        <v>1</v>
      </c>
      <c r="N104" s="136">
        <f>IF(AND(VLOOKUP(N$2,'TIS Site Config'!$A$4:$AQ$51,3,FALSE)&lt;&gt;"Soft",
                   OR(VLOOKUP(N$2,'TIS Site Config'!$A$4:$AQ$51,6,FALSE)="Heated",
                           VLOOKUP(N$2,'TIS Site Config'!$A$4:$AQ$51,6,FALSE)="Non-Heated")),
   IF(OR(VLOOKUP(N$2,'TIS Site Config'!$A$3:$AQ$51,23,FALSE)="BA",
                VLOOKUP(N$2,'TIS Site Config'!$A$3:$AQ$51,23,FALSE)="AD",
                VLOOKUP(N$2,'TIS Site Config'!$A$3:$AQ$51,23,FALSE)="DC",
                VLOOKUP(N$2,'TIS Site Config'!$A$3:$AQ$51,23,FALSE)="CB"),
                         1,0),
0)</f>
        <v>1</v>
      </c>
      <c r="O104" s="136">
        <f>IF(AND(VLOOKUP(O$2,'TIS Site Config'!$A$4:$AQ$51,3,FALSE)&lt;&gt;"Soft",
                   OR(VLOOKUP(O$2,'TIS Site Config'!$A$4:$AQ$51,6,FALSE)="Heated",
                           VLOOKUP(O$2,'TIS Site Config'!$A$4:$AQ$51,6,FALSE)="Non-Heated")),
   IF(OR(VLOOKUP(O$2,'TIS Site Config'!$A$3:$AQ$51,23,FALSE)="BA",
                VLOOKUP(O$2,'TIS Site Config'!$A$3:$AQ$51,23,FALSE)="AD",
                VLOOKUP(O$2,'TIS Site Config'!$A$3:$AQ$51,23,FALSE)="DC",
                VLOOKUP(O$2,'TIS Site Config'!$A$3:$AQ$51,23,FALSE)="CB"),
                         1,0),
0)</f>
        <v>1</v>
      </c>
      <c r="P104" s="136">
        <f>IF(AND(VLOOKUP(P$2,'TIS Site Config'!$A$4:$AQ$51,3,FALSE)&lt;&gt;"Soft",
                   OR(VLOOKUP(P$2,'TIS Site Config'!$A$4:$AQ$51,6,FALSE)="Heated",
                           VLOOKUP(P$2,'TIS Site Config'!$A$4:$AQ$51,6,FALSE)="Non-Heated")),
   IF(OR(VLOOKUP(P$2,'TIS Site Config'!$A$3:$AQ$51,23,FALSE)="BA",
                VLOOKUP(P$2,'TIS Site Config'!$A$3:$AQ$51,23,FALSE)="AD",
                VLOOKUP(P$2,'TIS Site Config'!$A$3:$AQ$51,23,FALSE)="DC",
                VLOOKUP(P$2,'TIS Site Config'!$A$3:$AQ$51,23,FALSE)="CB"),
                         1,0),
0)</f>
        <v>1</v>
      </c>
      <c r="Q104" s="136">
        <f>IF(AND(VLOOKUP(Q$2,'TIS Site Config'!$A$4:$AQ$51,3,FALSE)&lt;&gt;"Soft",
                   OR(VLOOKUP(Q$2,'TIS Site Config'!$A$4:$AQ$51,6,FALSE)="Heated",
                           VLOOKUP(Q$2,'TIS Site Config'!$A$4:$AQ$51,6,FALSE)="Non-Heated")),
   IF(OR(VLOOKUP(Q$2,'TIS Site Config'!$A$3:$AQ$51,23,FALSE)="BA",
                VLOOKUP(Q$2,'TIS Site Config'!$A$3:$AQ$51,23,FALSE)="AD",
                VLOOKUP(Q$2,'TIS Site Config'!$A$3:$AQ$51,23,FALSE)="DC",
                VLOOKUP(Q$2,'TIS Site Config'!$A$3:$AQ$51,23,FALSE)="CB"),
                         1,0),
0)</f>
        <v>1</v>
      </c>
      <c r="R104" s="136">
        <f>IF(AND(VLOOKUP(R$2,'TIS Site Config'!$A$4:$AQ$51,3,FALSE)&lt;&gt;"Soft",
                   OR(VLOOKUP(R$2,'TIS Site Config'!$A$4:$AQ$51,6,FALSE)="Heated",
                           VLOOKUP(R$2,'TIS Site Config'!$A$4:$AQ$51,6,FALSE)="Non-Heated")),
   IF(OR(VLOOKUP(R$2,'TIS Site Config'!$A$3:$AQ$51,23,FALSE)="BA",
                VLOOKUP(R$2,'TIS Site Config'!$A$3:$AQ$51,23,FALSE)="AD",
                VLOOKUP(R$2,'TIS Site Config'!$A$3:$AQ$51,23,FALSE)="DC",
                VLOOKUP(R$2,'TIS Site Config'!$A$3:$AQ$51,23,FALSE)="CB"),
                         1,0),
0)</f>
        <v>0</v>
      </c>
      <c r="S104" s="136">
        <f>IF(AND(VLOOKUP(S$2,'TIS Site Config'!$A$4:$AQ$51,3,FALSE)&lt;&gt;"Soft",
                   OR(VLOOKUP(S$2,'TIS Site Config'!$A$4:$AQ$51,6,FALSE)="Heated",
                           VLOOKUP(S$2,'TIS Site Config'!$A$4:$AQ$51,6,FALSE)="Non-Heated")),
   IF(OR(VLOOKUP(S$2,'TIS Site Config'!$A$3:$AQ$51,23,FALSE)="BA",
                VLOOKUP(S$2,'TIS Site Config'!$A$3:$AQ$51,23,FALSE)="AD",
                VLOOKUP(S$2,'TIS Site Config'!$A$3:$AQ$51,23,FALSE)="DC",
                VLOOKUP(S$2,'TIS Site Config'!$A$3:$AQ$51,23,FALSE)="CB"),
                         1,0),
0)</f>
        <v>0</v>
      </c>
      <c r="T104" s="136">
        <f>IF(AND(VLOOKUP(T$2,'TIS Site Config'!$A$4:$AQ$51,3,FALSE)&lt;&gt;"Soft",
                   OR(VLOOKUP(T$2,'TIS Site Config'!$A$4:$AQ$51,6,FALSE)="Heated",
                           VLOOKUP(T$2,'TIS Site Config'!$A$4:$AQ$51,6,FALSE)="Non-Heated")),
   IF(OR(VLOOKUP(T$2,'TIS Site Config'!$A$3:$AQ$51,23,FALSE)="BA",
                VLOOKUP(T$2,'TIS Site Config'!$A$3:$AQ$51,23,FALSE)="AD",
                VLOOKUP(T$2,'TIS Site Config'!$A$3:$AQ$51,23,FALSE)="DC",
                VLOOKUP(T$2,'TIS Site Config'!$A$3:$AQ$51,23,FALSE)="CB"),
                         1,0),
0)</f>
        <v>0</v>
      </c>
      <c r="U104" s="136">
        <f>IF(AND(VLOOKUP(U$2,'TIS Site Config'!$A$4:$AQ$51,3,FALSE)&lt;&gt;"Soft",
                   OR(VLOOKUP(U$2,'TIS Site Config'!$A$4:$AQ$51,6,FALSE)="Heated",
                           VLOOKUP(U$2,'TIS Site Config'!$A$4:$AQ$51,6,FALSE)="Non-Heated")),
   IF(OR(VLOOKUP(U$2,'TIS Site Config'!$A$3:$AQ$51,23,FALSE)="BA",
                VLOOKUP(U$2,'TIS Site Config'!$A$3:$AQ$51,23,FALSE)="AD",
                VLOOKUP(U$2,'TIS Site Config'!$A$3:$AQ$51,23,FALSE)="DC",
                VLOOKUP(U$2,'TIS Site Config'!$A$3:$AQ$51,23,FALSE)="CB"),
                         1,0),
0)</f>
        <v>0</v>
      </c>
      <c r="V104" s="136">
        <f>IF(AND(VLOOKUP(V$2,'TIS Site Config'!$A$4:$AQ$51,3,FALSE)&lt;&gt;"Soft",
                   OR(VLOOKUP(V$2,'TIS Site Config'!$A$4:$AQ$51,6,FALSE)="Heated",
                           VLOOKUP(V$2,'TIS Site Config'!$A$4:$AQ$51,6,FALSE)="Non-Heated")),
   IF(OR(VLOOKUP(V$2,'TIS Site Config'!$A$3:$AQ$51,23,FALSE)="BA",
                VLOOKUP(V$2,'TIS Site Config'!$A$3:$AQ$51,23,FALSE)="AD",
                VLOOKUP(V$2,'TIS Site Config'!$A$3:$AQ$51,23,FALSE)="DC",
                VLOOKUP(V$2,'TIS Site Config'!$A$3:$AQ$51,23,FALSE)="CB"),
                         1,0),
0)</f>
        <v>0</v>
      </c>
      <c r="W104" s="136">
        <f>IF(AND(VLOOKUP(W$2,'TIS Site Config'!$A$4:$AQ$51,3,FALSE)&lt;&gt;"Soft",
                   OR(VLOOKUP(W$2,'TIS Site Config'!$A$4:$AQ$51,6,FALSE)="Heated",
                           VLOOKUP(W$2,'TIS Site Config'!$A$4:$AQ$51,6,FALSE)="Non-Heated")),
   IF(OR(VLOOKUP(W$2,'TIS Site Config'!$A$3:$AQ$51,23,FALSE)="BA",
                VLOOKUP(W$2,'TIS Site Config'!$A$3:$AQ$51,23,FALSE)="AD",
                VLOOKUP(W$2,'TIS Site Config'!$A$3:$AQ$51,23,FALSE)="DC",
                VLOOKUP(W$2,'TIS Site Config'!$A$3:$AQ$51,23,FALSE)="CB"),
                         1,0),
0)</f>
        <v>1</v>
      </c>
      <c r="X104" s="136">
        <f>IF(AND(VLOOKUP(X$2,'TIS Site Config'!$A$4:$AQ$51,3,FALSE)&lt;&gt;"Soft",
                   OR(VLOOKUP(X$2,'TIS Site Config'!$A$4:$AQ$51,6,FALSE)="Heated",
                           VLOOKUP(X$2,'TIS Site Config'!$A$4:$AQ$51,6,FALSE)="Non-Heated")),
   IF(OR(VLOOKUP(X$2,'TIS Site Config'!$A$3:$AQ$51,23,FALSE)="BA",
                VLOOKUP(X$2,'TIS Site Config'!$A$3:$AQ$51,23,FALSE)="AD",
                VLOOKUP(X$2,'TIS Site Config'!$A$3:$AQ$51,23,FALSE)="DC",
                VLOOKUP(X$2,'TIS Site Config'!$A$3:$AQ$51,23,FALSE)="CB"),
                         1,0),
0)</f>
        <v>1</v>
      </c>
      <c r="Y104" s="136">
        <f>IF(AND(VLOOKUP(Y$2,'TIS Site Config'!$A$4:$AQ$51,3,FALSE)&lt;&gt;"Soft",
                   OR(VLOOKUP(Y$2,'TIS Site Config'!$A$4:$AQ$51,6,FALSE)="Heated",
                           VLOOKUP(Y$2,'TIS Site Config'!$A$4:$AQ$51,6,FALSE)="Non-Heated")),
   IF(OR(VLOOKUP(Y$2,'TIS Site Config'!$A$3:$AQ$51,23,FALSE)="BA",
                VLOOKUP(Y$2,'TIS Site Config'!$A$3:$AQ$51,23,FALSE)="AD",
                VLOOKUP(Y$2,'TIS Site Config'!$A$3:$AQ$51,23,FALSE)="DC",
                VLOOKUP(Y$2,'TIS Site Config'!$A$3:$AQ$51,23,FALSE)="CB"),
                         1,0),
0)</f>
        <v>1</v>
      </c>
      <c r="Z104" s="136">
        <f>IF(AND(VLOOKUP(Z$2,'TIS Site Config'!$A$4:$AQ$51,3,FALSE)&lt;&gt;"Soft",
                   OR(VLOOKUP(Z$2,'TIS Site Config'!$A$4:$AQ$51,6,FALSE)="Heated",
                           VLOOKUP(Z$2,'TIS Site Config'!$A$4:$AQ$51,6,FALSE)="Non-Heated")),
   IF(OR(VLOOKUP(Z$2,'TIS Site Config'!$A$3:$AQ$51,23,FALSE)="BA",
                VLOOKUP(Z$2,'TIS Site Config'!$A$3:$AQ$51,23,FALSE)="AD",
                VLOOKUP(Z$2,'TIS Site Config'!$A$3:$AQ$51,23,FALSE)="DC",
                VLOOKUP(Z$2,'TIS Site Config'!$A$3:$AQ$51,23,FALSE)="CB"),
                         1,0),
0)</f>
        <v>1</v>
      </c>
      <c r="AA104" s="136">
        <f>IF(AND(VLOOKUP(AA$2,'TIS Site Config'!$A$4:$AQ$51,3,FALSE)&lt;&gt;"Soft",
                   OR(VLOOKUP(AA$2,'TIS Site Config'!$A$4:$AQ$51,6,FALSE)="Heated",
                           VLOOKUP(AA$2,'TIS Site Config'!$A$4:$AQ$51,6,FALSE)="Non-Heated")),
   IF(OR(VLOOKUP(AA$2,'TIS Site Config'!$A$3:$AQ$51,23,FALSE)="BA",
                VLOOKUP(AA$2,'TIS Site Config'!$A$3:$AQ$51,23,FALSE)="AD",
                VLOOKUP(AA$2,'TIS Site Config'!$A$3:$AQ$51,23,FALSE)="DC",
                VLOOKUP(AA$2,'TIS Site Config'!$A$3:$AQ$51,23,FALSE)="CB"),
                         1,0),
0)</f>
        <v>1</v>
      </c>
      <c r="AB104" s="136">
        <f>IF(AND(VLOOKUP(AB$2,'TIS Site Config'!$A$4:$AQ$51,3,FALSE)&lt;&gt;"Soft",
                   OR(VLOOKUP(AB$2,'TIS Site Config'!$A$4:$AQ$51,6,FALSE)="Heated",
                           VLOOKUP(AB$2,'TIS Site Config'!$A$4:$AQ$51,6,FALSE)="Non-Heated")),
   IF(OR(VLOOKUP(AB$2,'TIS Site Config'!$A$3:$AQ$51,23,FALSE)="BA",
                VLOOKUP(AB$2,'TIS Site Config'!$A$3:$AQ$51,23,FALSE)="AD",
                VLOOKUP(AB$2,'TIS Site Config'!$A$3:$AQ$51,23,FALSE)="DC",
                VLOOKUP(AB$2,'TIS Site Config'!$A$3:$AQ$51,23,FALSE)="CB"),
                         1,0),
0)</f>
        <v>1</v>
      </c>
      <c r="AC104" s="136">
        <f>IF(AND(VLOOKUP(AC$2,'TIS Site Config'!$A$4:$AQ$51,3,FALSE)&lt;&gt;"Soft",
                   OR(VLOOKUP(AC$2,'TIS Site Config'!$A$4:$AQ$51,6,FALSE)="Heated",
                           VLOOKUP(AC$2,'TIS Site Config'!$A$4:$AQ$51,6,FALSE)="Non-Heated")),
   IF(OR(VLOOKUP(AC$2,'TIS Site Config'!$A$3:$AQ$51,23,FALSE)="BA",
                VLOOKUP(AC$2,'TIS Site Config'!$A$3:$AQ$51,23,FALSE)="AD",
                VLOOKUP(AC$2,'TIS Site Config'!$A$3:$AQ$51,23,FALSE)="DC",
                VLOOKUP(AC$2,'TIS Site Config'!$A$3:$AQ$51,23,FALSE)="CB"),
                         1,0),
0)</f>
        <v>0</v>
      </c>
      <c r="AD104" s="136">
        <f>IF(AND(VLOOKUP(AD$2,'TIS Site Config'!$A$4:$AQ$51,3,FALSE)&lt;&gt;"Soft",
                   OR(VLOOKUP(AD$2,'TIS Site Config'!$A$4:$AQ$51,6,FALSE)="Heated",
                           VLOOKUP(AD$2,'TIS Site Config'!$A$4:$AQ$51,6,FALSE)="Non-Heated")),
   IF(OR(VLOOKUP(AD$2,'TIS Site Config'!$A$3:$AQ$51,23,FALSE)="BA",
                VLOOKUP(AD$2,'TIS Site Config'!$A$3:$AQ$51,23,FALSE)="AD",
                VLOOKUP(AD$2,'TIS Site Config'!$A$3:$AQ$51,23,FALSE)="DC",
                VLOOKUP(AD$2,'TIS Site Config'!$A$3:$AQ$51,23,FALSE)="CB"),
                         1,0),
0)</f>
        <v>0</v>
      </c>
      <c r="AE104" s="136">
        <f>IF(AND(VLOOKUP(AE$2,'TIS Site Config'!$A$4:$AQ$51,3,FALSE)&lt;&gt;"Soft",
                   OR(VLOOKUP(AE$2,'TIS Site Config'!$A$4:$AQ$51,6,FALSE)="Heated",
                           VLOOKUP(AE$2,'TIS Site Config'!$A$4:$AQ$51,6,FALSE)="Non-Heated")),
   IF(OR(VLOOKUP(AE$2,'TIS Site Config'!$A$3:$AQ$51,23,FALSE)="BA",
                VLOOKUP(AE$2,'TIS Site Config'!$A$3:$AQ$51,23,FALSE)="AD",
                VLOOKUP(AE$2,'TIS Site Config'!$A$3:$AQ$51,23,FALSE)="DC",
                VLOOKUP(AE$2,'TIS Site Config'!$A$3:$AQ$51,23,FALSE)="CB"),
                         1,0),
0)</f>
        <v>0</v>
      </c>
      <c r="AF104" s="136">
        <f>IF(AND(VLOOKUP(AF$2,'TIS Site Config'!$A$4:$AQ$51,3,FALSE)&lt;&gt;"Soft",
                   OR(VLOOKUP(AF$2,'TIS Site Config'!$A$4:$AQ$51,6,FALSE)="Heated",
                           VLOOKUP(AF$2,'TIS Site Config'!$A$4:$AQ$51,6,FALSE)="Non-Heated")),
   IF(OR(VLOOKUP(AF$2,'TIS Site Config'!$A$3:$AQ$51,23,FALSE)="BA",
                VLOOKUP(AF$2,'TIS Site Config'!$A$3:$AQ$51,23,FALSE)="AD",
                VLOOKUP(AF$2,'TIS Site Config'!$A$3:$AQ$51,23,FALSE)="DC",
                VLOOKUP(AF$2,'TIS Site Config'!$A$3:$AQ$51,23,FALSE)="CB"),
                         1,0),
0)</f>
        <v>1</v>
      </c>
      <c r="AG104" s="136">
        <f>IF(AND(VLOOKUP(AG$2,'TIS Site Config'!$A$4:$AQ$51,3,FALSE)&lt;&gt;"Soft",
                   OR(VLOOKUP(AG$2,'TIS Site Config'!$A$4:$AQ$51,6,FALSE)="Heated",
                           VLOOKUP(AG$2,'TIS Site Config'!$A$4:$AQ$51,6,FALSE)="Non-Heated")),
   IF(OR(VLOOKUP(AG$2,'TIS Site Config'!$A$3:$AQ$51,23,FALSE)="BA",
                VLOOKUP(AG$2,'TIS Site Config'!$A$3:$AQ$51,23,FALSE)="AD",
                VLOOKUP(AG$2,'TIS Site Config'!$A$3:$AQ$51,23,FALSE)="DC",
                VLOOKUP(AG$2,'TIS Site Config'!$A$3:$AQ$51,23,FALSE)="CB"),
                         1,0),
0)</f>
        <v>0</v>
      </c>
      <c r="AH104" s="136">
        <f>IF(AND(VLOOKUP(AH$2,'TIS Site Config'!$A$4:$AQ$51,3,FALSE)&lt;&gt;"Soft",
                   OR(VLOOKUP(AH$2,'TIS Site Config'!$A$4:$AQ$51,6,FALSE)="Heated",
                           VLOOKUP(AH$2,'TIS Site Config'!$A$4:$AQ$51,6,FALSE)="Non-Heated")),
   IF(OR(VLOOKUP(AH$2,'TIS Site Config'!$A$3:$AQ$51,23,FALSE)="BA",
                VLOOKUP(AH$2,'TIS Site Config'!$A$3:$AQ$51,23,FALSE)="AD",
                VLOOKUP(AH$2,'TIS Site Config'!$A$3:$AQ$51,23,FALSE)="DC",
                VLOOKUP(AH$2,'TIS Site Config'!$A$3:$AQ$51,23,FALSE)="CB"),
                         1,0),
0)</f>
        <v>1</v>
      </c>
      <c r="AI104" s="136">
        <f>IF(AND(VLOOKUP(AI$2,'TIS Site Config'!$A$4:$AQ$51,3,FALSE)&lt;&gt;"Soft",
                   OR(VLOOKUP(AI$2,'TIS Site Config'!$A$4:$AQ$51,6,FALSE)="Heated",
                           VLOOKUP(AI$2,'TIS Site Config'!$A$4:$AQ$51,6,FALSE)="Non-Heated")),
   IF(OR(VLOOKUP(AI$2,'TIS Site Config'!$A$3:$AQ$51,23,FALSE)="BA",
                VLOOKUP(AI$2,'TIS Site Config'!$A$3:$AQ$51,23,FALSE)="AD",
                VLOOKUP(AI$2,'TIS Site Config'!$A$3:$AQ$51,23,FALSE)="DC",
                VLOOKUP(AI$2,'TIS Site Config'!$A$3:$AQ$51,23,FALSE)="CB"),
                         1,0),
0)</f>
        <v>1</v>
      </c>
      <c r="AJ104" s="136">
        <f>IF(AND(VLOOKUP(AJ$2,'TIS Site Config'!$A$4:$AQ$51,3,FALSE)&lt;&gt;"Soft",
                   OR(VLOOKUP(AJ$2,'TIS Site Config'!$A$4:$AQ$51,6,FALSE)="Heated",
                           VLOOKUP(AJ$2,'TIS Site Config'!$A$4:$AQ$51,6,FALSE)="Non-Heated")),
   IF(OR(VLOOKUP(AJ$2,'TIS Site Config'!$A$3:$AQ$51,23,FALSE)="BA",
                VLOOKUP(AJ$2,'TIS Site Config'!$A$3:$AQ$51,23,FALSE)="AD",
                VLOOKUP(AJ$2,'TIS Site Config'!$A$3:$AQ$51,23,FALSE)="DC",
                VLOOKUP(AJ$2,'TIS Site Config'!$A$3:$AQ$51,23,FALSE)="CB"),
                         1,0),
0)</f>
        <v>1</v>
      </c>
      <c r="AK104" s="136">
        <f>IF(AND(VLOOKUP(AK$2,'TIS Site Config'!$A$4:$AQ$51,3,FALSE)&lt;&gt;"Soft",
                   OR(VLOOKUP(AK$2,'TIS Site Config'!$A$4:$AQ$51,6,FALSE)="Heated",
                           VLOOKUP(AK$2,'TIS Site Config'!$A$4:$AQ$51,6,FALSE)="Non-Heated")),
   IF(OR(VLOOKUP(AK$2,'TIS Site Config'!$A$3:$AQ$51,23,FALSE)="BA",
                VLOOKUP(AK$2,'TIS Site Config'!$A$3:$AQ$51,23,FALSE)="AD",
                VLOOKUP(AK$2,'TIS Site Config'!$A$3:$AQ$51,23,FALSE)="DC",
                VLOOKUP(AK$2,'TIS Site Config'!$A$3:$AQ$51,23,FALSE)="CB"),
                         1,0),
0)</f>
        <v>1</v>
      </c>
      <c r="AL104" s="136">
        <f>IF(AND(VLOOKUP(AL$2,'TIS Site Config'!$A$4:$AQ$51,3,FALSE)&lt;&gt;"Soft",
                   OR(VLOOKUP(AL$2,'TIS Site Config'!$A$4:$AQ$51,6,FALSE)="Heated",
                           VLOOKUP(AL$2,'TIS Site Config'!$A$4:$AQ$51,6,FALSE)="Non-Heated")),
   IF(OR(VLOOKUP(AL$2,'TIS Site Config'!$A$3:$AQ$51,23,FALSE)="BA",
                VLOOKUP(AL$2,'TIS Site Config'!$A$3:$AQ$51,23,FALSE)="AD",
                VLOOKUP(AL$2,'TIS Site Config'!$A$3:$AQ$51,23,FALSE)="DC",
                VLOOKUP(AL$2,'TIS Site Config'!$A$3:$AQ$51,23,FALSE)="CB"),
                         1,0),
0)</f>
        <v>1</v>
      </c>
      <c r="AM104" s="136">
        <f>IF(AND(VLOOKUP(AM$2,'TIS Site Config'!$A$4:$AQ$51,3,FALSE)&lt;&gt;"Soft",
                   OR(VLOOKUP(AM$2,'TIS Site Config'!$A$4:$AQ$51,6,FALSE)="Heated",
                           VLOOKUP(AM$2,'TIS Site Config'!$A$4:$AQ$51,6,FALSE)="Non-Heated")),
   IF(OR(VLOOKUP(AM$2,'TIS Site Config'!$A$3:$AQ$51,23,FALSE)="BA",
                VLOOKUP(AM$2,'TIS Site Config'!$A$3:$AQ$51,23,FALSE)="AD",
                VLOOKUP(AM$2,'TIS Site Config'!$A$3:$AQ$51,23,FALSE)="DC",
                VLOOKUP(AM$2,'TIS Site Config'!$A$3:$AQ$51,23,FALSE)="CB"),
                         1,0),
0)</f>
        <v>1</v>
      </c>
      <c r="AN104" s="136">
        <f>IF(AND(VLOOKUP(AN$2,'TIS Site Config'!$A$4:$AQ$51,3,FALSE)&lt;&gt;"Soft",
                   OR(VLOOKUP(AN$2,'TIS Site Config'!$A$4:$AQ$51,6,FALSE)="Heated",
                           VLOOKUP(AN$2,'TIS Site Config'!$A$4:$AQ$51,6,FALSE)="Non-Heated")),
   IF(OR(VLOOKUP(AN$2,'TIS Site Config'!$A$3:$AQ$51,23,FALSE)="BA",
                VLOOKUP(AN$2,'TIS Site Config'!$A$3:$AQ$51,23,FALSE)="AD",
                VLOOKUP(AN$2,'TIS Site Config'!$A$3:$AQ$51,23,FALSE)="DC",
                VLOOKUP(AN$2,'TIS Site Config'!$A$3:$AQ$51,23,FALSE)="CB"),
                         1,0),
0)</f>
        <v>1</v>
      </c>
      <c r="AO104" s="136">
        <f>IF(AND(VLOOKUP(AO$2,'TIS Site Config'!$A$4:$AQ$51,3,FALSE)&lt;&gt;"Soft",
                   OR(VLOOKUP(AO$2,'TIS Site Config'!$A$4:$AQ$51,6,FALSE)="Heated",
                           VLOOKUP(AO$2,'TIS Site Config'!$A$4:$AQ$51,6,FALSE)="Non-Heated")),
   IF(OR(VLOOKUP(AO$2,'TIS Site Config'!$A$3:$AQ$51,23,FALSE)="BA",
                VLOOKUP(AO$2,'TIS Site Config'!$A$3:$AQ$51,23,FALSE)="AD",
                VLOOKUP(AO$2,'TIS Site Config'!$A$3:$AQ$51,23,FALSE)="DC",
                VLOOKUP(AO$2,'TIS Site Config'!$A$3:$AQ$51,23,FALSE)="CB"),
                         1,0),
0)</f>
        <v>1</v>
      </c>
      <c r="AP104" s="136">
        <f>IF(AND(VLOOKUP(AP$2,'TIS Site Config'!$A$4:$AQ$51,3,FALSE)&lt;&gt;"Soft",
                   OR(VLOOKUP(AP$2,'TIS Site Config'!$A$4:$AQ$51,6,FALSE)="Heated",
                           VLOOKUP(AP$2,'TIS Site Config'!$A$4:$AQ$51,6,FALSE)="Non-Heated")),
   IF(OR(VLOOKUP(AP$2,'TIS Site Config'!$A$3:$AQ$51,23,FALSE)="BA",
                VLOOKUP(AP$2,'TIS Site Config'!$A$3:$AQ$51,23,FALSE)="AD",
                VLOOKUP(AP$2,'TIS Site Config'!$A$3:$AQ$51,23,FALSE)="DC",
                VLOOKUP(AP$2,'TIS Site Config'!$A$3:$AQ$51,23,FALSE)="CB"),
                         1,0),
0)</f>
        <v>0</v>
      </c>
      <c r="AQ104" s="136">
        <f>IF(AND(VLOOKUP(AQ$2,'TIS Site Config'!$A$4:$AQ$51,3,FALSE)&lt;&gt;"Soft",
                   OR(VLOOKUP(AQ$2,'TIS Site Config'!$A$4:$AQ$51,6,FALSE)="Heated",
                           VLOOKUP(AQ$2,'TIS Site Config'!$A$4:$AQ$51,6,FALSE)="Non-Heated")),
   IF(OR(VLOOKUP(AQ$2,'TIS Site Config'!$A$3:$AQ$51,23,FALSE)="BA",
                VLOOKUP(AQ$2,'TIS Site Config'!$A$3:$AQ$51,23,FALSE)="AD",
                VLOOKUP(AQ$2,'TIS Site Config'!$A$3:$AQ$51,23,FALSE)="DC",
                VLOOKUP(AQ$2,'TIS Site Config'!$A$3:$AQ$51,23,FALSE)="CB"),
                         1,0),
0)</f>
        <v>1</v>
      </c>
      <c r="AR104" s="136">
        <f>IF(AND(VLOOKUP(AR$2,'TIS Site Config'!$A$4:$AQ$51,3,FALSE)&lt;&gt;"Soft",
                   OR(VLOOKUP(AR$2,'TIS Site Config'!$A$4:$AQ$51,6,FALSE)="Heated",
                           VLOOKUP(AR$2,'TIS Site Config'!$A$4:$AQ$51,6,FALSE)="Non-Heated")),
   IF(OR(VLOOKUP(AR$2,'TIS Site Config'!$A$3:$AQ$51,23,FALSE)="BA",
                VLOOKUP(AR$2,'TIS Site Config'!$A$3:$AQ$51,23,FALSE)="AD",
                VLOOKUP(AR$2,'TIS Site Config'!$A$3:$AQ$51,23,FALSE)="DC",
                VLOOKUP(AR$2,'TIS Site Config'!$A$3:$AQ$51,23,FALSE)="CB"),
                         1,0),
0)</f>
        <v>0</v>
      </c>
      <c r="AS104" s="136">
        <f>IF(AND(VLOOKUP(AS$2,'TIS Site Config'!$A$4:$AQ$51,3,FALSE)&lt;&gt;"Soft",
                   OR(VLOOKUP(AS$2,'TIS Site Config'!$A$4:$AQ$51,6,FALSE)="Heated",
                           VLOOKUP(AS$2,'TIS Site Config'!$A$4:$AQ$51,6,FALSE)="Non-Heated")),
   IF(OR(VLOOKUP(AS$2,'TIS Site Config'!$A$3:$AQ$51,23,FALSE)="BA",
                VLOOKUP(AS$2,'TIS Site Config'!$A$3:$AQ$51,23,FALSE)="AD",
                VLOOKUP(AS$2,'TIS Site Config'!$A$3:$AQ$51,23,FALSE)="DC",
                VLOOKUP(AS$2,'TIS Site Config'!$A$3:$AQ$51,23,FALSE)="CB"),
                         1,0),
0)</f>
        <v>0</v>
      </c>
      <c r="AT104" s="136">
        <f>IF(AND(VLOOKUP(AT$2,'TIS Site Config'!$A$4:$AQ$51,3,FALSE)&lt;&gt;"Soft",
                   OR(VLOOKUP(AT$2,'TIS Site Config'!$A$4:$AQ$51,6,FALSE)="Heated",
                           VLOOKUP(AT$2,'TIS Site Config'!$A$4:$AQ$51,6,FALSE)="Non-Heated")),
   IF(OR(VLOOKUP(AT$2,'TIS Site Config'!$A$3:$AQ$51,23,FALSE)="BA",
                VLOOKUP(AT$2,'TIS Site Config'!$A$3:$AQ$51,23,FALSE)="AD",
                VLOOKUP(AT$2,'TIS Site Config'!$A$3:$AQ$51,23,FALSE)="DC",
                VLOOKUP(AT$2,'TIS Site Config'!$A$3:$AQ$51,23,FALSE)="CB"),
                         1,0),
0)</f>
        <v>0</v>
      </c>
      <c r="AU104" s="136">
        <f>IF(AND(VLOOKUP(AU$2,'TIS Site Config'!$A$4:$AQ$51,3,FALSE)&lt;&gt;"Soft",
                   OR(VLOOKUP(AU$2,'TIS Site Config'!$A$4:$AQ$51,6,FALSE)="Heated",
                           VLOOKUP(AU$2,'TIS Site Config'!$A$4:$AQ$51,6,FALSE)="Non-Heated")),
   IF(OR(VLOOKUP(AU$2,'TIS Site Config'!$A$3:$AQ$51,23,FALSE)="BA",
                VLOOKUP(AU$2,'TIS Site Config'!$A$3:$AQ$51,23,FALSE)="AD",
                VLOOKUP(AU$2,'TIS Site Config'!$A$3:$AQ$51,23,FALSE)="DC",
                VLOOKUP(AU$2,'TIS Site Config'!$A$3:$AQ$51,23,FALSE)="CB"),
                         1,0),
0)</f>
        <v>1</v>
      </c>
      <c r="AV104" s="136">
        <f>IF(AND(VLOOKUP(AV$2,'TIS Site Config'!$A$4:$AQ$51,3,FALSE)&lt;&gt;"Soft",
                   OR(VLOOKUP(AV$2,'TIS Site Config'!$A$4:$AQ$51,6,FALSE)="Heated",
                           VLOOKUP(AV$2,'TIS Site Config'!$A$4:$AQ$51,6,FALSE)="Non-Heated")),
   IF(OR(VLOOKUP(AV$2,'TIS Site Config'!$A$3:$AQ$51,23,FALSE)="BA",
                VLOOKUP(AV$2,'TIS Site Config'!$A$3:$AQ$51,23,FALSE)="AD",
                VLOOKUP(AV$2,'TIS Site Config'!$A$3:$AQ$51,23,FALSE)="DC",
                VLOOKUP(AV$2,'TIS Site Config'!$A$3:$AQ$51,23,FALSE)="CB"),
                         1,0),
0)</f>
        <v>1</v>
      </c>
      <c r="AW104" s="136">
        <f>IF(AND(VLOOKUP(AW$2,'TIS Site Config'!$A$4:$AQ$51,3,FALSE)&lt;&gt;"Soft",
                   OR(VLOOKUP(AW$2,'TIS Site Config'!$A$4:$AQ$51,6,FALSE)="Heated",
                           VLOOKUP(AW$2,'TIS Site Config'!$A$4:$AQ$51,6,FALSE)="Non-Heated")),
   IF(OR(VLOOKUP(AW$2,'TIS Site Config'!$A$3:$AQ$51,23,FALSE)="BA",
                VLOOKUP(AW$2,'TIS Site Config'!$A$3:$AQ$51,23,FALSE)="AD",
                VLOOKUP(AW$2,'TIS Site Config'!$A$3:$AQ$51,23,FALSE)="DC",
                VLOOKUP(AW$2,'TIS Site Config'!$A$3:$AQ$51,23,FALSE)="CB"),
                         1,0),
0)</f>
        <v>1</v>
      </c>
      <c r="AX104" s="136">
        <f>IF(AND(VLOOKUP(AX$2,'TIS Site Config'!$A$4:$AQ$51,3,FALSE)&lt;&gt;"Soft",
                   OR(VLOOKUP(AX$2,'TIS Site Config'!$A$4:$AQ$51,6,FALSE)="Heated",
                           VLOOKUP(AX$2,'TIS Site Config'!$A$4:$AQ$51,6,FALSE)="Non-Heated")),
   IF(OR(VLOOKUP(AX$2,'TIS Site Config'!$A$3:$AQ$51,23,FALSE)="BA",
                VLOOKUP(AX$2,'TIS Site Config'!$A$3:$AQ$51,23,FALSE)="AD",
                VLOOKUP(AX$2,'TIS Site Config'!$A$3:$AQ$51,23,FALSE)="DC",
                VLOOKUP(AX$2,'TIS Site Config'!$A$3:$AQ$51,23,FALSE)="CB"),
                         1,0),
0)</f>
        <v>0</v>
      </c>
      <c r="AY104" s="136">
        <f>IF(AND(VLOOKUP(AY$2,'TIS Site Config'!$A$4:$AQ$51,3,FALSE)&lt;&gt;"Soft",
                   OR(VLOOKUP(AY$2,'TIS Site Config'!$A$4:$AQ$51,6,FALSE)="Heated",
                           VLOOKUP(AY$2,'TIS Site Config'!$A$4:$AQ$51,6,FALSE)="Non-Heated")),
   IF(OR(VLOOKUP(AY$2,'TIS Site Config'!$A$3:$AQ$51,23,FALSE)="BA",
                VLOOKUP(AY$2,'TIS Site Config'!$A$3:$AQ$51,23,FALSE)="AD",
                VLOOKUP(AY$2,'TIS Site Config'!$A$3:$AQ$51,23,FALSE)="DC",
                VLOOKUP(AY$2,'TIS Site Config'!$A$3:$AQ$51,23,FALSE)="CB"),
                         1,0),
0)</f>
        <v>0</v>
      </c>
      <c r="AZ104" s="136">
        <f>IF(AND(VLOOKUP(AZ$2,'TIS Site Config'!$A$4:$AQ$51,3,FALSE)&lt;&gt;"Soft",
                   OR(VLOOKUP(AZ$2,'TIS Site Config'!$A$4:$AQ$51,6,FALSE)="Heated",
                           VLOOKUP(AZ$2,'TIS Site Config'!$A$4:$AQ$51,6,FALSE)="Non-Heated")),
   IF(OR(VLOOKUP(AZ$2,'TIS Site Config'!$A$3:$AQ$51,23,FALSE)="BA",
                VLOOKUP(AZ$2,'TIS Site Config'!$A$3:$AQ$51,23,FALSE)="AD",
                VLOOKUP(AZ$2,'TIS Site Config'!$A$3:$AQ$51,23,FALSE)="DC",
                VLOOKUP(AZ$2,'TIS Site Config'!$A$3:$AQ$51,23,FALSE)="CB"),
                         1,0),
0)</f>
        <v>0</v>
      </c>
      <c r="BA104" s="136">
        <f>IF(AND(VLOOKUP(BA$2,'TIS Site Config'!$A$4:$AQ$51,3,FALSE)&lt;&gt;"Soft",
                   OR(VLOOKUP(BA$2,'TIS Site Config'!$A$4:$AQ$51,6,FALSE)="Heated",
                           VLOOKUP(BA$2,'TIS Site Config'!$A$4:$AQ$51,6,FALSE)="Non-Heated")),
   IF(OR(VLOOKUP(BA$2,'TIS Site Config'!$A$3:$AQ$51,23,FALSE)="BA",
                VLOOKUP(BA$2,'TIS Site Config'!$A$3:$AQ$51,23,FALSE)="AD",
                VLOOKUP(BA$2,'TIS Site Config'!$A$3:$AQ$51,23,FALSE)="DC",
                VLOOKUP(BA$2,'TIS Site Config'!$A$3:$AQ$51,23,FALSE)="CB"),
                         1,0),
0)</f>
        <v>1</v>
      </c>
      <c r="BB104" s="136">
        <f>IF(AND(VLOOKUP(BB$2,'TIS Site Config'!$A$4:$AQ$51,3,FALSE)&lt;&gt;"Soft",
                   OR(VLOOKUP(BB$2,'TIS Site Config'!$A$4:$AQ$51,6,FALSE)="Heated",
                           VLOOKUP(BB$2,'TIS Site Config'!$A$4:$AQ$51,6,FALSE)="Non-Heated")),
   IF(OR(VLOOKUP(BB$2,'TIS Site Config'!$A$3:$AQ$51,23,FALSE)="BA",
                VLOOKUP(BB$2,'TIS Site Config'!$A$3:$AQ$51,23,FALSE)="AD",
                VLOOKUP(BB$2,'TIS Site Config'!$A$3:$AQ$51,23,FALSE)="DC",
                VLOOKUP(BB$2,'TIS Site Config'!$A$3:$AQ$51,23,FALSE)="CB"),
                         1,0),
0)</f>
        <v>0</v>
      </c>
      <c r="BC104" s="136">
        <f>IF(AND(VLOOKUP(BC$2,'TIS Site Config'!$A$4:$AQ$51,3,FALSE)&lt;&gt;"Soft",
                   OR(VLOOKUP(BC$2,'TIS Site Config'!$A$4:$AQ$51,6,FALSE)="Heated",
                           VLOOKUP(BC$2,'TIS Site Config'!$A$4:$AQ$51,6,FALSE)="Non-Heated")),
   IF(OR(VLOOKUP(BC$2,'TIS Site Config'!$A$3:$AQ$51,23,FALSE)="BA",
                VLOOKUP(BC$2,'TIS Site Config'!$A$3:$AQ$51,23,FALSE)="AD",
                VLOOKUP(BC$2,'TIS Site Config'!$A$3:$AQ$51,23,FALSE)="DC",
                VLOOKUP(BC$2,'TIS Site Config'!$A$3:$AQ$51,23,FALSE)="CB"),
                         1,0),
0)</f>
        <v>0</v>
      </c>
      <c r="BD104" s="136">
        <f>IF(AND(VLOOKUP(BD$2,'TIS Site Config'!$A$4:$AQ$51,3,FALSE)&lt;&gt;"Soft",
                   OR(VLOOKUP(BD$2,'TIS Site Config'!$A$4:$AQ$51,6,FALSE)="Heated",
                           VLOOKUP(BD$2,'TIS Site Config'!$A$4:$AQ$51,6,FALSE)="Non-Heated")),
   IF(OR(VLOOKUP(BD$2,'TIS Site Config'!$A$3:$AQ$51,23,FALSE)="BA",
                VLOOKUP(BD$2,'TIS Site Config'!$A$3:$AQ$51,23,FALSE)="AD",
                VLOOKUP(BD$2,'TIS Site Config'!$A$3:$AQ$51,23,FALSE)="DC",
                VLOOKUP(BD$2,'TIS Site Config'!$A$3:$AQ$51,23,FALSE)="CB"),
                         1,0),
0)</f>
        <v>0</v>
      </c>
      <c r="BE104" s="136">
        <f>IF(AND(VLOOKUP(BE$2,'TIS Site Config'!$A$4:$AQ$51,3,FALSE)&lt;&gt;"Soft",
                   OR(VLOOKUP(BE$2,'TIS Site Config'!$A$4:$AQ$51,6,FALSE)="Heated",
                           VLOOKUP(BE$2,'TIS Site Config'!$A$4:$AQ$51,6,FALSE)="Non-Heated")),
   IF(OR(VLOOKUP(BE$2,'TIS Site Config'!$A$3:$AQ$51,23,FALSE)="BA",
                VLOOKUP(BE$2,'TIS Site Config'!$A$3:$AQ$51,23,FALSE)="AD",
                VLOOKUP(BE$2,'TIS Site Config'!$A$3:$AQ$51,23,FALSE)="DC",
                VLOOKUP(BE$2,'TIS Site Config'!$A$3:$AQ$51,23,FALSE)="CB"),
                         1,0),
0)</f>
        <v>0</v>
      </c>
      <c r="BF104" s="136">
        <f>IF(AND(VLOOKUP(BF$2,'TIS Site Config'!$A$4:$AQ$51,3,FALSE)&lt;&gt;"Soft",
                   OR(VLOOKUP(BF$2,'TIS Site Config'!$A$4:$AQ$51,6,FALSE)="Heated",
                           VLOOKUP(BF$2,'TIS Site Config'!$A$4:$AQ$51,6,FALSE)="Non-Heated")),
   IF(OR(VLOOKUP(BF$2,'TIS Site Config'!$A$3:$AQ$51,23,FALSE)="BA",
                VLOOKUP(BF$2,'TIS Site Config'!$A$3:$AQ$51,23,FALSE)="AD",
                VLOOKUP(BF$2,'TIS Site Config'!$A$3:$AQ$51,23,FALSE)="DC",
                VLOOKUP(BF$2,'TIS Site Config'!$A$3:$AQ$51,23,FALSE)="CB"),
                         1,0),
0)</f>
        <v>0</v>
      </c>
      <c r="BG104" s="136">
        <f>IF(AND(VLOOKUP(BG$2,'TIS Site Config'!$A$4:$AQ$51,3,FALSE)&lt;&gt;"Soft",
                   OR(VLOOKUP(BG$2,'TIS Site Config'!$A$4:$AQ$51,6,FALSE)="Heated",
                           VLOOKUP(BG$2,'TIS Site Config'!$A$4:$AQ$51,6,FALSE)="Non-Heated")),
   IF(OR(VLOOKUP(BG$2,'TIS Site Config'!$A$3:$AQ$51,23,FALSE)="BA",
                VLOOKUP(BG$2,'TIS Site Config'!$A$3:$AQ$51,23,FALSE)="AD",
                VLOOKUP(BG$2,'TIS Site Config'!$A$3:$AQ$51,23,FALSE)="DC",
                VLOOKUP(BG$2,'TIS Site Config'!$A$3:$AQ$51,23,FALSE)="CB"),
                         1,0),
0)</f>
        <v>0</v>
      </c>
      <c r="BH104" s="136">
        <f>IF(AND(VLOOKUP(BH$2,'TIS Site Config'!$A$4:$AQ$51,3,FALSE)&lt;&gt;"Soft",
                   OR(VLOOKUP(BH$2,'TIS Site Config'!$A$4:$AQ$51,6,FALSE)="Heated",
                           VLOOKUP(BH$2,'TIS Site Config'!$A$4:$AQ$51,6,FALSE)="Non-Heated")),
   IF(OR(VLOOKUP(BH$2,'TIS Site Config'!$A$3:$AQ$51,23,FALSE)="BA",
                VLOOKUP(BH$2,'TIS Site Config'!$A$3:$AQ$51,23,FALSE)="AD",
                VLOOKUP(BH$2,'TIS Site Config'!$A$3:$AQ$51,23,FALSE)="DC",
                VLOOKUP(BH$2,'TIS Site Config'!$A$3:$AQ$51,23,FALSE)="CB"),
                         1,0),
0)</f>
        <v>1</v>
      </c>
      <c r="BI104" s="10" t="s">
        <v>970</v>
      </c>
      <c r="BK104" s="10">
        <v>20</v>
      </c>
      <c r="BL104" s="950" t="b">
        <f t="shared" si="7"/>
        <v>0</v>
      </c>
      <c r="BO104" s="950"/>
    </row>
    <row r="105" spans="1:67" s="44" customFormat="1" x14ac:dyDescent="0.25">
      <c r="A105" s="1366"/>
      <c r="B105" s="1374"/>
      <c r="C105" s="69" t="s">
        <v>570</v>
      </c>
      <c r="D105" s="97">
        <v>3</v>
      </c>
      <c r="E105" s="114" t="s">
        <v>571</v>
      </c>
      <c r="F105" s="253">
        <f t="shared" si="5"/>
        <v>16</v>
      </c>
      <c r="G105" s="456"/>
      <c r="H105" s="457"/>
      <c r="I105" s="457"/>
      <c r="J105" s="457"/>
      <c r="K105" s="485">
        <v>2</v>
      </c>
      <c r="L105" s="501"/>
      <c r="M105" s="136">
        <f>IF(AND(VLOOKUP(M$2,'TIS Site Config'!$A$4:$AQ$51,3,FALSE)&lt;&gt;"Soft",
                   OR(VLOOKUP(M$2,'TIS Site Config'!$A$4:$AQ$51,6,FALSE)="Heated",
                           VLOOKUP(M$2,'TIS Site Config'!$A$4:$AQ$51,6,FALSE)="Non-Heated")),
   IF(OR(VLOOKUP(M$2,'TIS Site Config'!$A$3:$AQ$51,23,FALSE)="AB",
                VLOOKUP(M$2,'TIS Site Config'!$A$3:$AQ$51,23,FALSE)="BC",
                VLOOKUP(M$2,'TIS Site Config'!$A$3:$AQ$51,23,FALSE)="CD",
                VLOOKUP(M$2,'TIS Site Config'!$A$3:$AQ$51,23,FALSE)="DA"),
                         1,0),
0)</f>
        <v>0</v>
      </c>
      <c r="N105" s="136">
        <f>IF(AND(VLOOKUP(N$2,'TIS Site Config'!$A$4:$AQ$51,3,FALSE)&lt;&gt;"Soft",
                   OR(VLOOKUP(N$2,'TIS Site Config'!$A$4:$AQ$51,6,FALSE)="Heated",
                           VLOOKUP(N$2,'TIS Site Config'!$A$4:$AQ$51,6,FALSE)="Non-Heated")),
   IF(OR(VLOOKUP(N$2,'TIS Site Config'!$A$3:$AQ$51,23,FALSE)="AB",
                VLOOKUP(N$2,'TIS Site Config'!$A$3:$AQ$51,23,FALSE)="BC",
                VLOOKUP(N$2,'TIS Site Config'!$A$3:$AQ$51,23,FALSE)="CD",
                VLOOKUP(N$2,'TIS Site Config'!$A$3:$AQ$51,23,FALSE)="DA"),
                         1,0),
0)</f>
        <v>0</v>
      </c>
      <c r="O105" s="136">
        <f>IF(AND(VLOOKUP(O$2,'TIS Site Config'!$A$4:$AQ$51,3,FALSE)&lt;&gt;"Soft",
                   OR(VLOOKUP(O$2,'TIS Site Config'!$A$4:$AQ$51,6,FALSE)="Heated",
                           VLOOKUP(O$2,'TIS Site Config'!$A$4:$AQ$51,6,FALSE)="Non-Heated")),
   IF(OR(VLOOKUP(O$2,'TIS Site Config'!$A$3:$AQ$51,23,FALSE)="AB",
                VLOOKUP(O$2,'TIS Site Config'!$A$3:$AQ$51,23,FALSE)="BC",
                VLOOKUP(O$2,'TIS Site Config'!$A$3:$AQ$51,23,FALSE)="CD",
                VLOOKUP(O$2,'TIS Site Config'!$A$3:$AQ$51,23,FALSE)="DA"),
                         1,0),
0)</f>
        <v>0</v>
      </c>
      <c r="P105" s="136">
        <f>IF(AND(VLOOKUP(P$2,'TIS Site Config'!$A$4:$AQ$51,3,FALSE)&lt;&gt;"Soft",
                   OR(VLOOKUP(P$2,'TIS Site Config'!$A$4:$AQ$51,6,FALSE)="Heated",
                           VLOOKUP(P$2,'TIS Site Config'!$A$4:$AQ$51,6,FALSE)="Non-Heated")),
   IF(OR(VLOOKUP(P$2,'TIS Site Config'!$A$3:$AQ$51,23,FALSE)="AB",
                VLOOKUP(P$2,'TIS Site Config'!$A$3:$AQ$51,23,FALSE)="BC",
                VLOOKUP(P$2,'TIS Site Config'!$A$3:$AQ$51,23,FALSE)="CD",
                VLOOKUP(P$2,'TIS Site Config'!$A$3:$AQ$51,23,FALSE)="DA"),
                         1,0),
0)</f>
        <v>0</v>
      </c>
      <c r="Q105" s="136">
        <f>IF(AND(VLOOKUP(Q$2,'TIS Site Config'!$A$4:$AQ$51,3,FALSE)&lt;&gt;"Soft",
                   OR(VLOOKUP(Q$2,'TIS Site Config'!$A$4:$AQ$51,6,FALSE)="Heated",
                           VLOOKUP(Q$2,'TIS Site Config'!$A$4:$AQ$51,6,FALSE)="Non-Heated")),
   IF(OR(VLOOKUP(Q$2,'TIS Site Config'!$A$3:$AQ$51,23,FALSE)="AB",
                VLOOKUP(Q$2,'TIS Site Config'!$A$3:$AQ$51,23,FALSE)="BC",
                VLOOKUP(Q$2,'TIS Site Config'!$A$3:$AQ$51,23,FALSE)="CD",
                VLOOKUP(Q$2,'TIS Site Config'!$A$3:$AQ$51,23,FALSE)="DA"),
                         1,0),
0)</f>
        <v>0</v>
      </c>
      <c r="R105" s="136">
        <f>IF(AND(VLOOKUP(R$2,'TIS Site Config'!$A$4:$AQ$51,3,FALSE)&lt;&gt;"Soft",
                   OR(VLOOKUP(R$2,'TIS Site Config'!$A$4:$AQ$51,6,FALSE)="Heated",
                           VLOOKUP(R$2,'TIS Site Config'!$A$4:$AQ$51,6,FALSE)="Non-Heated")),
   IF(OR(VLOOKUP(R$2,'TIS Site Config'!$A$3:$AQ$51,23,FALSE)="AB",
                VLOOKUP(R$2,'TIS Site Config'!$A$3:$AQ$51,23,FALSE)="BC",
                VLOOKUP(R$2,'TIS Site Config'!$A$3:$AQ$51,23,FALSE)="CD",
                VLOOKUP(R$2,'TIS Site Config'!$A$3:$AQ$51,23,FALSE)="DA"),
                         1,0),
0)</f>
        <v>1</v>
      </c>
      <c r="S105" s="136">
        <f>IF(AND(VLOOKUP(S$2,'TIS Site Config'!$A$4:$AQ$51,3,FALSE)&lt;&gt;"Soft",
                   OR(VLOOKUP(S$2,'TIS Site Config'!$A$4:$AQ$51,6,FALSE)="Heated",
                           VLOOKUP(S$2,'TIS Site Config'!$A$4:$AQ$51,6,FALSE)="Non-Heated")),
   IF(OR(VLOOKUP(S$2,'TIS Site Config'!$A$3:$AQ$51,23,FALSE)="AB",
                VLOOKUP(S$2,'TIS Site Config'!$A$3:$AQ$51,23,FALSE)="BC",
                VLOOKUP(S$2,'TIS Site Config'!$A$3:$AQ$51,23,FALSE)="CD",
                VLOOKUP(S$2,'TIS Site Config'!$A$3:$AQ$51,23,FALSE)="DA"),
                         1,0),
0)</f>
        <v>1</v>
      </c>
      <c r="T105" s="136">
        <f>IF(AND(VLOOKUP(T$2,'TIS Site Config'!$A$4:$AQ$51,3,FALSE)&lt;&gt;"Soft",
                   OR(VLOOKUP(T$2,'TIS Site Config'!$A$4:$AQ$51,6,FALSE)="Heated",
                           VLOOKUP(T$2,'TIS Site Config'!$A$4:$AQ$51,6,FALSE)="Non-Heated")),
   IF(OR(VLOOKUP(T$2,'TIS Site Config'!$A$3:$AQ$51,23,FALSE)="AB",
                VLOOKUP(T$2,'TIS Site Config'!$A$3:$AQ$51,23,FALSE)="BC",
                VLOOKUP(T$2,'TIS Site Config'!$A$3:$AQ$51,23,FALSE)="CD",
                VLOOKUP(T$2,'TIS Site Config'!$A$3:$AQ$51,23,FALSE)="DA"),
                         1,0),
0)</f>
        <v>1</v>
      </c>
      <c r="U105" s="136">
        <f>IF(AND(VLOOKUP(U$2,'TIS Site Config'!$A$4:$AQ$51,3,FALSE)&lt;&gt;"Soft",
                   OR(VLOOKUP(U$2,'TIS Site Config'!$A$4:$AQ$51,6,FALSE)="Heated",
                           VLOOKUP(U$2,'TIS Site Config'!$A$4:$AQ$51,6,FALSE)="Non-Heated")),
   IF(OR(VLOOKUP(U$2,'TIS Site Config'!$A$3:$AQ$51,23,FALSE)="AB",
                VLOOKUP(U$2,'TIS Site Config'!$A$3:$AQ$51,23,FALSE)="BC",
                VLOOKUP(U$2,'TIS Site Config'!$A$3:$AQ$51,23,FALSE)="CD",
                VLOOKUP(U$2,'TIS Site Config'!$A$3:$AQ$51,23,FALSE)="DA"),
                         1,0),
0)</f>
        <v>1</v>
      </c>
      <c r="V105" s="136">
        <f>IF(AND(VLOOKUP(V$2,'TIS Site Config'!$A$4:$AQ$51,3,FALSE)&lt;&gt;"Soft",
                   OR(VLOOKUP(V$2,'TIS Site Config'!$A$4:$AQ$51,6,FALSE)="Heated",
                           VLOOKUP(V$2,'TIS Site Config'!$A$4:$AQ$51,6,FALSE)="Non-Heated")),
   IF(OR(VLOOKUP(V$2,'TIS Site Config'!$A$3:$AQ$51,23,FALSE)="AB",
                VLOOKUP(V$2,'TIS Site Config'!$A$3:$AQ$51,23,FALSE)="BC",
                VLOOKUP(V$2,'TIS Site Config'!$A$3:$AQ$51,23,FALSE)="CD",
                VLOOKUP(V$2,'TIS Site Config'!$A$3:$AQ$51,23,FALSE)="DA"),
                         1,0),
0)</f>
        <v>1</v>
      </c>
      <c r="W105" s="136">
        <f>IF(AND(VLOOKUP(W$2,'TIS Site Config'!$A$4:$AQ$51,3,FALSE)&lt;&gt;"Soft",
                   OR(VLOOKUP(W$2,'TIS Site Config'!$A$4:$AQ$51,6,FALSE)="Heated",
                           VLOOKUP(W$2,'TIS Site Config'!$A$4:$AQ$51,6,FALSE)="Non-Heated")),
   IF(OR(VLOOKUP(W$2,'TIS Site Config'!$A$3:$AQ$51,23,FALSE)="AB",
                VLOOKUP(W$2,'TIS Site Config'!$A$3:$AQ$51,23,FALSE)="BC",
                VLOOKUP(W$2,'TIS Site Config'!$A$3:$AQ$51,23,FALSE)="CD",
                VLOOKUP(W$2,'TIS Site Config'!$A$3:$AQ$51,23,FALSE)="DA"),
                         1,0),
0)</f>
        <v>0</v>
      </c>
      <c r="X105" s="136">
        <f>IF(AND(VLOOKUP(X$2,'TIS Site Config'!$A$4:$AQ$51,3,FALSE)&lt;&gt;"Soft",
                   OR(VLOOKUP(X$2,'TIS Site Config'!$A$4:$AQ$51,6,FALSE)="Heated",
                           VLOOKUP(X$2,'TIS Site Config'!$A$4:$AQ$51,6,FALSE)="Non-Heated")),
   IF(OR(VLOOKUP(X$2,'TIS Site Config'!$A$3:$AQ$51,23,FALSE)="AB",
                VLOOKUP(X$2,'TIS Site Config'!$A$3:$AQ$51,23,FALSE)="BC",
                VLOOKUP(X$2,'TIS Site Config'!$A$3:$AQ$51,23,FALSE)="CD",
                VLOOKUP(X$2,'TIS Site Config'!$A$3:$AQ$51,23,FALSE)="DA"),
                         1,0),
0)</f>
        <v>0</v>
      </c>
      <c r="Y105" s="136">
        <f>IF(AND(VLOOKUP(Y$2,'TIS Site Config'!$A$4:$AQ$51,3,FALSE)&lt;&gt;"Soft",
                   OR(VLOOKUP(Y$2,'TIS Site Config'!$A$4:$AQ$51,6,FALSE)="Heated",
                           VLOOKUP(Y$2,'TIS Site Config'!$A$4:$AQ$51,6,FALSE)="Non-Heated")),
   IF(OR(VLOOKUP(Y$2,'TIS Site Config'!$A$3:$AQ$51,23,FALSE)="AB",
                VLOOKUP(Y$2,'TIS Site Config'!$A$3:$AQ$51,23,FALSE)="BC",
                VLOOKUP(Y$2,'TIS Site Config'!$A$3:$AQ$51,23,FALSE)="CD",
                VLOOKUP(Y$2,'TIS Site Config'!$A$3:$AQ$51,23,FALSE)="DA"),
                         1,0),
0)</f>
        <v>0</v>
      </c>
      <c r="Z105" s="136">
        <f>IF(AND(VLOOKUP(Z$2,'TIS Site Config'!$A$4:$AQ$51,3,FALSE)&lt;&gt;"Soft",
                   OR(VLOOKUP(Z$2,'TIS Site Config'!$A$4:$AQ$51,6,FALSE)="Heated",
                           VLOOKUP(Z$2,'TIS Site Config'!$A$4:$AQ$51,6,FALSE)="Non-Heated")),
   IF(OR(VLOOKUP(Z$2,'TIS Site Config'!$A$3:$AQ$51,23,FALSE)="AB",
                VLOOKUP(Z$2,'TIS Site Config'!$A$3:$AQ$51,23,FALSE)="BC",
                VLOOKUP(Z$2,'TIS Site Config'!$A$3:$AQ$51,23,FALSE)="CD",
                VLOOKUP(Z$2,'TIS Site Config'!$A$3:$AQ$51,23,FALSE)="DA"),
                         1,0),
0)</f>
        <v>0</v>
      </c>
      <c r="AA105" s="136">
        <f>IF(AND(VLOOKUP(AA$2,'TIS Site Config'!$A$4:$AQ$51,3,FALSE)&lt;&gt;"Soft",
                   OR(VLOOKUP(AA$2,'TIS Site Config'!$A$4:$AQ$51,6,FALSE)="Heated",
                           VLOOKUP(AA$2,'TIS Site Config'!$A$4:$AQ$51,6,FALSE)="Non-Heated")),
   IF(OR(VLOOKUP(AA$2,'TIS Site Config'!$A$3:$AQ$51,23,FALSE)="AB",
                VLOOKUP(AA$2,'TIS Site Config'!$A$3:$AQ$51,23,FALSE)="BC",
                VLOOKUP(AA$2,'TIS Site Config'!$A$3:$AQ$51,23,FALSE)="CD",
                VLOOKUP(AA$2,'TIS Site Config'!$A$3:$AQ$51,23,FALSE)="DA"),
                         1,0),
0)</f>
        <v>0</v>
      </c>
      <c r="AB105" s="136">
        <f>IF(AND(VLOOKUP(AB$2,'TIS Site Config'!$A$4:$AQ$51,3,FALSE)&lt;&gt;"Soft",
                   OR(VLOOKUP(AB$2,'TIS Site Config'!$A$4:$AQ$51,6,FALSE)="Heated",
                           VLOOKUP(AB$2,'TIS Site Config'!$A$4:$AQ$51,6,FALSE)="Non-Heated")),
   IF(OR(VLOOKUP(AB$2,'TIS Site Config'!$A$3:$AQ$51,23,FALSE)="AB",
                VLOOKUP(AB$2,'TIS Site Config'!$A$3:$AQ$51,23,FALSE)="BC",
                VLOOKUP(AB$2,'TIS Site Config'!$A$3:$AQ$51,23,FALSE)="CD",
                VLOOKUP(AB$2,'TIS Site Config'!$A$3:$AQ$51,23,FALSE)="DA"),
                         1,0),
0)</f>
        <v>0</v>
      </c>
      <c r="AC105" s="136">
        <f>IF(AND(VLOOKUP(AC$2,'TIS Site Config'!$A$4:$AQ$51,3,FALSE)&lt;&gt;"Soft",
                   OR(VLOOKUP(AC$2,'TIS Site Config'!$A$4:$AQ$51,6,FALSE)="Heated",
                           VLOOKUP(AC$2,'TIS Site Config'!$A$4:$AQ$51,6,FALSE)="Non-Heated")),
   IF(OR(VLOOKUP(AC$2,'TIS Site Config'!$A$3:$AQ$51,23,FALSE)="AB",
                VLOOKUP(AC$2,'TIS Site Config'!$A$3:$AQ$51,23,FALSE)="BC",
                VLOOKUP(AC$2,'TIS Site Config'!$A$3:$AQ$51,23,FALSE)="CD",
                VLOOKUP(AC$2,'TIS Site Config'!$A$3:$AQ$51,23,FALSE)="DA"),
                         1,0),
0)</f>
        <v>1</v>
      </c>
      <c r="AD105" s="136">
        <f>IF(AND(VLOOKUP(AD$2,'TIS Site Config'!$A$4:$AQ$51,3,FALSE)&lt;&gt;"Soft",
                   OR(VLOOKUP(AD$2,'TIS Site Config'!$A$4:$AQ$51,6,FALSE)="Heated",
                           VLOOKUP(AD$2,'TIS Site Config'!$A$4:$AQ$51,6,FALSE)="Non-Heated")),
   IF(OR(VLOOKUP(AD$2,'TIS Site Config'!$A$3:$AQ$51,23,FALSE)="AB",
                VLOOKUP(AD$2,'TIS Site Config'!$A$3:$AQ$51,23,FALSE)="BC",
                VLOOKUP(AD$2,'TIS Site Config'!$A$3:$AQ$51,23,FALSE)="CD",
                VLOOKUP(AD$2,'TIS Site Config'!$A$3:$AQ$51,23,FALSE)="DA"),
                         1,0),
0)</f>
        <v>1</v>
      </c>
      <c r="AE105" s="136">
        <f>IF(AND(VLOOKUP(AE$2,'TIS Site Config'!$A$4:$AQ$51,3,FALSE)&lt;&gt;"Soft",
                   OR(VLOOKUP(AE$2,'TIS Site Config'!$A$4:$AQ$51,6,FALSE)="Heated",
                           VLOOKUP(AE$2,'TIS Site Config'!$A$4:$AQ$51,6,FALSE)="Non-Heated")),
   IF(OR(VLOOKUP(AE$2,'TIS Site Config'!$A$3:$AQ$51,23,FALSE)="AB",
                VLOOKUP(AE$2,'TIS Site Config'!$A$3:$AQ$51,23,FALSE)="BC",
                VLOOKUP(AE$2,'TIS Site Config'!$A$3:$AQ$51,23,FALSE)="CD",
                VLOOKUP(AE$2,'TIS Site Config'!$A$3:$AQ$51,23,FALSE)="DA"),
                         1,0),
0)</f>
        <v>1</v>
      </c>
      <c r="AF105" s="136">
        <f>IF(AND(VLOOKUP(AF$2,'TIS Site Config'!$A$4:$AQ$51,3,FALSE)&lt;&gt;"Soft",
                   OR(VLOOKUP(AF$2,'TIS Site Config'!$A$4:$AQ$51,6,FALSE)="Heated",
                           VLOOKUP(AF$2,'TIS Site Config'!$A$4:$AQ$51,6,FALSE)="Non-Heated")),
   IF(OR(VLOOKUP(AF$2,'TIS Site Config'!$A$3:$AQ$51,23,FALSE)="AB",
                VLOOKUP(AF$2,'TIS Site Config'!$A$3:$AQ$51,23,FALSE)="BC",
                VLOOKUP(AF$2,'TIS Site Config'!$A$3:$AQ$51,23,FALSE)="CD",
                VLOOKUP(AF$2,'TIS Site Config'!$A$3:$AQ$51,23,FALSE)="DA"),
                         1,0),
0)</f>
        <v>0</v>
      </c>
      <c r="AG105" s="136">
        <f>IF(AND(VLOOKUP(AG$2,'TIS Site Config'!$A$4:$AQ$51,3,FALSE)&lt;&gt;"Soft",
                   OR(VLOOKUP(AG$2,'TIS Site Config'!$A$4:$AQ$51,6,FALSE)="Heated",
                           VLOOKUP(AG$2,'TIS Site Config'!$A$4:$AQ$51,6,FALSE)="Non-Heated")),
   IF(OR(VLOOKUP(AG$2,'TIS Site Config'!$A$3:$AQ$51,23,FALSE)="AB",
                VLOOKUP(AG$2,'TIS Site Config'!$A$3:$AQ$51,23,FALSE)="BC",
                VLOOKUP(AG$2,'TIS Site Config'!$A$3:$AQ$51,23,FALSE)="CD",
                VLOOKUP(AG$2,'TIS Site Config'!$A$3:$AQ$51,23,FALSE)="DA"),
                         1,0),
0)</f>
        <v>1</v>
      </c>
      <c r="AH105" s="136">
        <f>IF(AND(VLOOKUP(AH$2,'TIS Site Config'!$A$4:$AQ$51,3,FALSE)&lt;&gt;"Soft",
                   OR(VLOOKUP(AH$2,'TIS Site Config'!$A$4:$AQ$51,6,FALSE)="Heated",
                           VLOOKUP(AH$2,'TIS Site Config'!$A$4:$AQ$51,6,FALSE)="Non-Heated")),
   IF(OR(VLOOKUP(AH$2,'TIS Site Config'!$A$3:$AQ$51,23,FALSE)="AB",
                VLOOKUP(AH$2,'TIS Site Config'!$A$3:$AQ$51,23,FALSE)="BC",
                VLOOKUP(AH$2,'TIS Site Config'!$A$3:$AQ$51,23,FALSE)="CD",
                VLOOKUP(AH$2,'TIS Site Config'!$A$3:$AQ$51,23,FALSE)="DA"),
                         1,0),
0)</f>
        <v>0</v>
      </c>
      <c r="AI105" s="136">
        <f>IF(AND(VLOOKUP(AI$2,'TIS Site Config'!$A$4:$AQ$51,3,FALSE)&lt;&gt;"Soft",
                   OR(VLOOKUP(AI$2,'TIS Site Config'!$A$4:$AQ$51,6,FALSE)="Heated",
                           VLOOKUP(AI$2,'TIS Site Config'!$A$4:$AQ$51,6,FALSE)="Non-Heated")),
   IF(OR(VLOOKUP(AI$2,'TIS Site Config'!$A$3:$AQ$51,23,FALSE)="AB",
                VLOOKUP(AI$2,'TIS Site Config'!$A$3:$AQ$51,23,FALSE)="BC",
                VLOOKUP(AI$2,'TIS Site Config'!$A$3:$AQ$51,23,FALSE)="CD",
                VLOOKUP(AI$2,'TIS Site Config'!$A$3:$AQ$51,23,FALSE)="DA"),
                         1,0),
0)</f>
        <v>0</v>
      </c>
      <c r="AJ105" s="136">
        <f>IF(AND(VLOOKUP(AJ$2,'TIS Site Config'!$A$4:$AQ$51,3,FALSE)&lt;&gt;"Soft",
                   OR(VLOOKUP(AJ$2,'TIS Site Config'!$A$4:$AQ$51,6,FALSE)="Heated",
                           VLOOKUP(AJ$2,'TIS Site Config'!$A$4:$AQ$51,6,FALSE)="Non-Heated")),
   IF(OR(VLOOKUP(AJ$2,'TIS Site Config'!$A$3:$AQ$51,23,FALSE)="AB",
                VLOOKUP(AJ$2,'TIS Site Config'!$A$3:$AQ$51,23,FALSE)="BC",
                VLOOKUP(AJ$2,'TIS Site Config'!$A$3:$AQ$51,23,FALSE)="CD",
                VLOOKUP(AJ$2,'TIS Site Config'!$A$3:$AQ$51,23,FALSE)="DA"),
                         1,0),
0)</f>
        <v>0</v>
      </c>
      <c r="AK105" s="136">
        <f>IF(AND(VLOOKUP(AK$2,'TIS Site Config'!$A$4:$AQ$51,3,FALSE)&lt;&gt;"Soft",
                   OR(VLOOKUP(AK$2,'TIS Site Config'!$A$4:$AQ$51,6,FALSE)="Heated",
                           VLOOKUP(AK$2,'TIS Site Config'!$A$4:$AQ$51,6,FALSE)="Non-Heated")),
   IF(OR(VLOOKUP(AK$2,'TIS Site Config'!$A$3:$AQ$51,23,FALSE)="AB",
                VLOOKUP(AK$2,'TIS Site Config'!$A$3:$AQ$51,23,FALSE)="BC",
                VLOOKUP(AK$2,'TIS Site Config'!$A$3:$AQ$51,23,FALSE)="CD",
                VLOOKUP(AK$2,'TIS Site Config'!$A$3:$AQ$51,23,FALSE)="DA"),
                         1,0),
0)</f>
        <v>0</v>
      </c>
      <c r="AL105" s="136">
        <f>IF(AND(VLOOKUP(AL$2,'TIS Site Config'!$A$4:$AQ$51,3,FALSE)&lt;&gt;"Soft",
                   OR(VLOOKUP(AL$2,'TIS Site Config'!$A$4:$AQ$51,6,FALSE)="Heated",
                           VLOOKUP(AL$2,'TIS Site Config'!$A$4:$AQ$51,6,FALSE)="Non-Heated")),
   IF(OR(VLOOKUP(AL$2,'TIS Site Config'!$A$3:$AQ$51,23,FALSE)="AB",
                VLOOKUP(AL$2,'TIS Site Config'!$A$3:$AQ$51,23,FALSE)="BC",
                VLOOKUP(AL$2,'TIS Site Config'!$A$3:$AQ$51,23,FALSE)="CD",
                VLOOKUP(AL$2,'TIS Site Config'!$A$3:$AQ$51,23,FALSE)="DA"),
                         1,0),
0)</f>
        <v>0</v>
      </c>
      <c r="AM105" s="136">
        <f>IF(AND(VLOOKUP(AM$2,'TIS Site Config'!$A$4:$AQ$51,3,FALSE)&lt;&gt;"Soft",
                   OR(VLOOKUP(AM$2,'TIS Site Config'!$A$4:$AQ$51,6,FALSE)="Heated",
                           VLOOKUP(AM$2,'TIS Site Config'!$A$4:$AQ$51,6,FALSE)="Non-Heated")),
   IF(OR(VLOOKUP(AM$2,'TIS Site Config'!$A$3:$AQ$51,23,FALSE)="AB",
                VLOOKUP(AM$2,'TIS Site Config'!$A$3:$AQ$51,23,FALSE)="BC",
                VLOOKUP(AM$2,'TIS Site Config'!$A$3:$AQ$51,23,FALSE)="CD",
                VLOOKUP(AM$2,'TIS Site Config'!$A$3:$AQ$51,23,FALSE)="DA"),
                         1,0),
0)</f>
        <v>0</v>
      </c>
      <c r="AN105" s="136">
        <f>IF(AND(VLOOKUP(AN$2,'TIS Site Config'!$A$4:$AQ$51,3,FALSE)&lt;&gt;"Soft",
                   OR(VLOOKUP(AN$2,'TIS Site Config'!$A$4:$AQ$51,6,FALSE)="Heated",
                           VLOOKUP(AN$2,'TIS Site Config'!$A$4:$AQ$51,6,FALSE)="Non-Heated")),
   IF(OR(VLOOKUP(AN$2,'TIS Site Config'!$A$3:$AQ$51,23,FALSE)="AB",
                VLOOKUP(AN$2,'TIS Site Config'!$A$3:$AQ$51,23,FALSE)="BC",
                VLOOKUP(AN$2,'TIS Site Config'!$A$3:$AQ$51,23,FALSE)="CD",
                VLOOKUP(AN$2,'TIS Site Config'!$A$3:$AQ$51,23,FALSE)="DA"),
                         1,0),
0)</f>
        <v>0</v>
      </c>
      <c r="AO105" s="136">
        <f>IF(AND(VLOOKUP(AO$2,'TIS Site Config'!$A$4:$AQ$51,3,FALSE)&lt;&gt;"Soft",
                   OR(VLOOKUP(AO$2,'TIS Site Config'!$A$4:$AQ$51,6,FALSE)="Heated",
                           VLOOKUP(AO$2,'TIS Site Config'!$A$4:$AQ$51,6,FALSE)="Non-Heated")),
   IF(OR(VLOOKUP(AO$2,'TIS Site Config'!$A$3:$AQ$51,23,FALSE)="AB",
                VLOOKUP(AO$2,'TIS Site Config'!$A$3:$AQ$51,23,FALSE)="BC",
                VLOOKUP(AO$2,'TIS Site Config'!$A$3:$AQ$51,23,FALSE)="CD",
                VLOOKUP(AO$2,'TIS Site Config'!$A$3:$AQ$51,23,FALSE)="DA"),
                         1,0),
0)</f>
        <v>0</v>
      </c>
      <c r="AP105" s="136">
        <f>IF(AND(VLOOKUP(AP$2,'TIS Site Config'!$A$4:$AQ$51,3,FALSE)&lt;&gt;"Soft",
                   OR(VLOOKUP(AP$2,'TIS Site Config'!$A$4:$AQ$51,6,FALSE)="Heated",
                           VLOOKUP(AP$2,'TIS Site Config'!$A$4:$AQ$51,6,FALSE)="Non-Heated")),
   IF(OR(VLOOKUP(AP$2,'TIS Site Config'!$A$3:$AQ$51,23,FALSE)="AB",
                VLOOKUP(AP$2,'TIS Site Config'!$A$3:$AQ$51,23,FALSE)="BC",
                VLOOKUP(AP$2,'TIS Site Config'!$A$3:$AQ$51,23,FALSE)="CD",
                VLOOKUP(AP$2,'TIS Site Config'!$A$3:$AQ$51,23,FALSE)="DA"),
                         1,0),
0)</f>
        <v>1</v>
      </c>
      <c r="AQ105" s="136">
        <f>IF(AND(VLOOKUP(AQ$2,'TIS Site Config'!$A$4:$AQ$51,3,FALSE)&lt;&gt;"Soft",
                   OR(VLOOKUP(AQ$2,'TIS Site Config'!$A$4:$AQ$51,6,FALSE)="Heated",
                           VLOOKUP(AQ$2,'TIS Site Config'!$A$4:$AQ$51,6,FALSE)="Non-Heated")),
   IF(OR(VLOOKUP(AQ$2,'TIS Site Config'!$A$3:$AQ$51,23,FALSE)="AB",
                VLOOKUP(AQ$2,'TIS Site Config'!$A$3:$AQ$51,23,FALSE)="BC",
                VLOOKUP(AQ$2,'TIS Site Config'!$A$3:$AQ$51,23,FALSE)="CD",
                VLOOKUP(AQ$2,'TIS Site Config'!$A$3:$AQ$51,23,FALSE)="DA"),
                         1,0),
0)</f>
        <v>0</v>
      </c>
      <c r="AR105" s="136">
        <f>IF(AND(VLOOKUP(AR$2,'TIS Site Config'!$A$4:$AQ$51,3,FALSE)&lt;&gt;"Soft",
                   OR(VLOOKUP(AR$2,'TIS Site Config'!$A$4:$AQ$51,6,FALSE)="Heated",
                           VLOOKUP(AR$2,'TIS Site Config'!$A$4:$AQ$51,6,FALSE)="Non-Heated")),
   IF(OR(VLOOKUP(AR$2,'TIS Site Config'!$A$3:$AQ$51,23,FALSE)="AB",
                VLOOKUP(AR$2,'TIS Site Config'!$A$3:$AQ$51,23,FALSE)="BC",
                VLOOKUP(AR$2,'TIS Site Config'!$A$3:$AQ$51,23,FALSE)="CD",
                VLOOKUP(AR$2,'TIS Site Config'!$A$3:$AQ$51,23,FALSE)="DA"),
                         1,0),
0)</f>
        <v>0</v>
      </c>
      <c r="AS105" s="136">
        <f>IF(AND(VLOOKUP(AS$2,'TIS Site Config'!$A$4:$AQ$51,3,FALSE)&lt;&gt;"Soft",
                   OR(VLOOKUP(AS$2,'TIS Site Config'!$A$4:$AQ$51,6,FALSE)="Heated",
                           VLOOKUP(AS$2,'TIS Site Config'!$A$4:$AQ$51,6,FALSE)="Non-Heated")),
   IF(OR(VLOOKUP(AS$2,'TIS Site Config'!$A$3:$AQ$51,23,FALSE)="AB",
                VLOOKUP(AS$2,'TIS Site Config'!$A$3:$AQ$51,23,FALSE)="BC",
                VLOOKUP(AS$2,'TIS Site Config'!$A$3:$AQ$51,23,FALSE)="CD",
                VLOOKUP(AS$2,'TIS Site Config'!$A$3:$AQ$51,23,FALSE)="DA"),
                         1,0),
0)</f>
        <v>1</v>
      </c>
      <c r="AT105" s="136">
        <f>IF(AND(VLOOKUP(AT$2,'TIS Site Config'!$A$4:$AQ$51,3,FALSE)&lt;&gt;"Soft",
                   OR(VLOOKUP(AT$2,'TIS Site Config'!$A$4:$AQ$51,6,FALSE)="Heated",
                           VLOOKUP(AT$2,'TIS Site Config'!$A$4:$AQ$51,6,FALSE)="Non-Heated")),
   IF(OR(VLOOKUP(AT$2,'TIS Site Config'!$A$3:$AQ$51,23,FALSE)="AB",
                VLOOKUP(AT$2,'TIS Site Config'!$A$3:$AQ$51,23,FALSE)="BC",
                VLOOKUP(AT$2,'TIS Site Config'!$A$3:$AQ$51,23,FALSE)="CD",
                VLOOKUP(AT$2,'TIS Site Config'!$A$3:$AQ$51,23,FALSE)="DA"),
                         1,0),
0)</f>
        <v>1</v>
      </c>
      <c r="AU105" s="136">
        <f>IF(AND(VLOOKUP(AU$2,'TIS Site Config'!$A$4:$AQ$51,3,FALSE)&lt;&gt;"Soft",
                   OR(VLOOKUP(AU$2,'TIS Site Config'!$A$4:$AQ$51,6,FALSE)="Heated",
                           VLOOKUP(AU$2,'TIS Site Config'!$A$4:$AQ$51,6,FALSE)="Non-Heated")),
   IF(OR(VLOOKUP(AU$2,'TIS Site Config'!$A$3:$AQ$51,23,FALSE)="AB",
                VLOOKUP(AU$2,'TIS Site Config'!$A$3:$AQ$51,23,FALSE)="BC",
                VLOOKUP(AU$2,'TIS Site Config'!$A$3:$AQ$51,23,FALSE)="CD",
                VLOOKUP(AU$2,'TIS Site Config'!$A$3:$AQ$51,23,FALSE)="DA"),
                         1,0),
0)</f>
        <v>0</v>
      </c>
      <c r="AV105" s="136">
        <f>IF(AND(VLOOKUP(AV$2,'TIS Site Config'!$A$4:$AQ$51,3,FALSE)&lt;&gt;"Soft",
                   OR(VLOOKUP(AV$2,'TIS Site Config'!$A$4:$AQ$51,6,FALSE)="Heated",
                           VLOOKUP(AV$2,'TIS Site Config'!$A$4:$AQ$51,6,FALSE)="Non-Heated")),
   IF(OR(VLOOKUP(AV$2,'TIS Site Config'!$A$3:$AQ$51,23,FALSE)="AB",
                VLOOKUP(AV$2,'TIS Site Config'!$A$3:$AQ$51,23,FALSE)="BC",
                VLOOKUP(AV$2,'TIS Site Config'!$A$3:$AQ$51,23,FALSE)="CD",
                VLOOKUP(AV$2,'TIS Site Config'!$A$3:$AQ$51,23,FALSE)="DA"),
                         1,0),
0)</f>
        <v>0</v>
      </c>
      <c r="AW105" s="136">
        <f>IF(AND(VLOOKUP(AW$2,'TIS Site Config'!$A$4:$AQ$51,3,FALSE)&lt;&gt;"Soft",
                   OR(VLOOKUP(AW$2,'TIS Site Config'!$A$4:$AQ$51,6,FALSE)="Heated",
                           VLOOKUP(AW$2,'TIS Site Config'!$A$4:$AQ$51,6,FALSE)="Non-Heated")),
   IF(OR(VLOOKUP(AW$2,'TIS Site Config'!$A$3:$AQ$51,23,FALSE)="AB",
                VLOOKUP(AW$2,'TIS Site Config'!$A$3:$AQ$51,23,FALSE)="BC",
                VLOOKUP(AW$2,'TIS Site Config'!$A$3:$AQ$51,23,FALSE)="CD",
                VLOOKUP(AW$2,'TIS Site Config'!$A$3:$AQ$51,23,FALSE)="DA"),
                         1,0),
0)</f>
        <v>0</v>
      </c>
      <c r="AX105" s="136">
        <f>IF(AND(VLOOKUP(AX$2,'TIS Site Config'!$A$4:$AQ$51,3,FALSE)&lt;&gt;"Soft",
                   OR(VLOOKUP(AX$2,'TIS Site Config'!$A$4:$AQ$51,6,FALSE)="Heated",
                           VLOOKUP(AX$2,'TIS Site Config'!$A$4:$AQ$51,6,FALSE)="Non-Heated")),
   IF(OR(VLOOKUP(AX$2,'TIS Site Config'!$A$3:$AQ$51,23,FALSE)="AB",
                VLOOKUP(AX$2,'TIS Site Config'!$A$3:$AQ$51,23,FALSE)="BC",
                VLOOKUP(AX$2,'TIS Site Config'!$A$3:$AQ$51,23,FALSE)="CD",
                VLOOKUP(AX$2,'TIS Site Config'!$A$3:$AQ$51,23,FALSE)="DA"),
                         1,0),
0)</f>
        <v>1</v>
      </c>
      <c r="AY105" s="136">
        <f>IF(AND(VLOOKUP(AY$2,'TIS Site Config'!$A$4:$AQ$51,3,FALSE)&lt;&gt;"Soft",
                   OR(VLOOKUP(AY$2,'TIS Site Config'!$A$4:$AQ$51,6,FALSE)="Heated",
                           VLOOKUP(AY$2,'TIS Site Config'!$A$4:$AQ$51,6,FALSE)="Non-Heated")),
   IF(OR(VLOOKUP(AY$2,'TIS Site Config'!$A$3:$AQ$51,23,FALSE)="AB",
                VLOOKUP(AY$2,'TIS Site Config'!$A$3:$AQ$51,23,FALSE)="BC",
                VLOOKUP(AY$2,'TIS Site Config'!$A$3:$AQ$51,23,FALSE)="CD",
                VLOOKUP(AY$2,'TIS Site Config'!$A$3:$AQ$51,23,FALSE)="DA"),
                         1,0),
0)</f>
        <v>1</v>
      </c>
      <c r="AZ105" s="136">
        <f>IF(AND(VLOOKUP(AZ$2,'TIS Site Config'!$A$4:$AQ$51,3,FALSE)&lt;&gt;"Soft",
                   OR(VLOOKUP(AZ$2,'TIS Site Config'!$A$4:$AQ$51,6,FALSE)="Heated",
                           VLOOKUP(AZ$2,'TIS Site Config'!$A$4:$AQ$51,6,FALSE)="Non-Heated")),
   IF(OR(VLOOKUP(AZ$2,'TIS Site Config'!$A$3:$AQ$51,23,FALSE)="AB",
                VLOOKUP(AZ$2,'TIS Site Config'!$A$3:$AQ$51,23,FALSE)="BC",
                VLOOKUP(AZ$2,'TIS Site Config'!$A$3:$AQ$51,23,FALSE)="CD",
                VLOOKUP(AZ$2,'TIS Site Config'!$A$3:$AQ$51,23,FALSE)="DA"),
                         1,0),
0)</f>
        <v>1</v>
      </c>
      <c r="BA105" s="136">
        <f>IF(AND(VLOOKUP(BA$2,'TIS Site Config'!$A$4:$AQ$51,3,FALSE)&lt;&gt;"Soft",
                   OR(VLOOKUP(BA$2,'TIS Site Config'!$A$4:$AQ$51,6,FALSE)="Heated",
                           VLOOKUP(BA$2,'TIS Site Config'!$A$4:$AQ$51,6,FALSE)="Non-Heated")),
   IF(OR(VLOOKUP(BA$2,'TIS Site Config'!$A$3:$AQ$51,23,FALSE)="AB",
                VLOOKUP(BA$2,'TIS Site Config'!$A$3:$AQ$51,23,FALSE)="BC",
                VLOOKUP(BA$2,'TIS Site Config'!$A$3:$AQ$51,23,FALSE)="CD",
                VLOOKUP(BA$2,'TIS Site Config'!$A$3:$AQ$51,23,FALSE)="DA"),
                         1,0),
0)</f>
        <v>0</v>
      </c>
      <c r="BB105" s="136">
        <f>IF(AND(VLOOKUP(BB$2,'TIS Site Config'!$A$4:$AQ$51,3,FALSE)&lt;&gt;"Soft",
                   OR(VLOOKUP(BB$2,'TIS Site Config'!$A$4:$AQ$51,6,FALSE)="Heated",
                           VLOOKUP(BB$2,'TIS Site Config'!$A$4:$AQ$51,6,FALSE)="Non-Heated")),
   IF(OR(VLOOKUP(BB$2,'TIS Site Config'!$A$3:$AQ$51,23,FALSE)="AB",
                VLOOKUP(BB$2,'TIS Site Config'!$A$3:$AQ$51,23,FALSE)="BC",
                VLOOKUP(BB$2,'TIS Site Config'!$A$3:$AQ$51,23,FALSE)="CD",
                VLOOKUP(BB$2,'TIS Site Config'!$A$3:$AQ$51,23,FALSE)="DA"),
                         1,0),
0)</f>
        <v>0</v>
      </c>
      <c r="BC105" s="136">
        <f>IF(AND(VLOOKUP(BC$2,'TIS Site Config'!$A$4:$AQ$51,3,FALSE)&lt;&gt;"Soft",
                   OR(VLOOKUP(BC$2,'TIS Site Config'!$A$4:$AQ$51,6,FALSE)="Heated",
                           VLOOKUP(BC$2,'TIS Site Config'!$A$4:$AQ$51,6,FALSE)="Non-Heated")),
   IF(OR(VLOOKUP(BC$2,'TIS Site Config'!$A$3:$AQ$51,23,FALSE)="AB",
                VLOOKUP(BC$2,'TIS Site Config'!$A$3:$AQ$51,23,FALSE)="BC",
                VLOOKUP(BC$2,'TIS Site Config'!$A$3:$AQ$51,23,FALSE)="CD",
                VLOOKUP(BC$2,'TIS Site Config'!$A$3:$AQ$51,23,FALSE)="DA"),
                         1,0),
0)</f>
        <v>0</v>
      </c>
      <c r="BD105" s="136">
        <f>IF(AND(VLOOKUP(BD$2,'TIS Site Config'!$A$4:$AQ$51,3,FALSE)&lt;&gt;"Soft",
                   OR(VLOOKUP(BD$2,'TIS Site Config'!$A$4:$AQ$51,6,FALSE)="Heated",
                           VLOOKUP(BD$2,'TIS Site Config'!$A$4:$AQ$51,6,FALSE)="Non-Heated")),
   IF(OR(VLOOKUP(BD$2,'TIS Site Config'!$A$3:$AQ$51,23,FALSE)="AB",
                VLOOKUP(BD$2,'TIS Site Config'!$A$3:$AQ$51,23,FALSE)="BC",
                VLOOKUP(BD$2,'TIS Site Config'!$A$3:$AQ$51,23,FALSE)="CD",
                VLOOKUP(BD$2,'TIS Site Config'!$A$3:$AQ$51,23,FALSE)="DA"),
                         1,0),
0)</f>
        <v>0</v>
      </c>
      <c r="BE105" s="136">
        <f>IF(AND(VLOOKUP(BE$2,'TIS Site Config'!$A$4:$AQ$51,3,FALSE)&lt;&gt;"Soft",
                   OR(VLOOKUP(BE$2,'TIS Site Config'!$A$4:$AQ$51,6,FALSE)="Heated",
                           VLOOKUP(BE$2,'TIS Site Config'!$A$4:$AQ$51,6,FALSE)="Non-Heated")),
   IF(OR(VLOOKUP(BE$2,'TIS Site Config'!$A$3:$AQ$51,23,FALSE)="AB",
                VLOOKUP(BE$2,'TIS Site Config'!$A$3:$AQ$51,23,FALSE)="BC",
                VLOOKUP(BE$2,'TIS Site Config'!$A$3:$AQ$51,23,FALSE)="CD",
                VLOOKUP(BE$2,'TIS Site Config'!$A$3:$AQ$51,23,FALSE)="DA"),
                         1,0),
0)</f>
        <v>0</v>
      </c>
      <c r="BF105" s="136">
        <f>IF(AND(VLOOKUP(BF$2,'TIS Site Config'!$A$4:$AQ$51,3,FALSE)&lt;&gt;"Soft",
                   OR(VLOOKUP(BF$2,'TIS Site Config'!$A$4:$AQ$51,6,FALSE)="Heated",
                           VLOOKUP(BF$2,'TIS Site Config'!$A$4:$AQ$51,6,FALSE)="Non-Heated")),
   IF(OR(VLOOKUP(BF$2,'TIS Site Config'!$A$3:$AQ$51,23,FALSE)="AB",
                VLOOKUP(BF$2,'TIS Site Config'!$A$3:$AQ$51,23,FALSE)="BC",
                VLOOKUP(BF$2,'TIS Site Config'!$A$3:$AQ$51,23,FALSE)="CD",
                VLOOKUP(BF$2,'TIS Site Config'!$A$3:$AQ$51,23,FALSE)="DA"),
                         1,0),
0)</f>
        <v>0</v>
      </c>
      <c r="BG105" s="136">
        <f>IF(AND(VLOOKUP(BG$2,'TIS Site Config'!$A$4:$AQ$51,3,FALSE)&lt;&gt;"Soft",
                   OR(VLOOKUP(BG$2,'TIS Site Config'!$A$4:$AQ$51,6,FALSE)="Heated",
                           VLOOKUP(BG$2,'TIS Site Config'!$A$4:$AQ$51,6,FALSE)="Non-Heated")),
   IF(OR(VLOOKUP(BG$2,'TIS Site Config'!$A$3:$AQ$51,23,FALSE)="AB",
                VLOOKUP(BG$2,'TIS Site Config'!$A$3:$AQ$51,23,FALSE)="BC",
                VLOOKUP(BG$2,'TIS Site Config'!$A$3:$AQ$51,23,FALSE)="CD",
                VLOOKUP(BG$2,'TIS Site Config'!$A$3:$AQ$51,23,FALSE)="DA"),
                         1,0),
0)</f>
        <v>1</v>
      </c>
      <c r="BH105" s="136">
        <f>IF(AND(VLOOKUP(BH$2,'TIS Site Config'!$A$4:$AQ$51,3,FALSE)&lt;&gt;"Soft",
                   OR(VLOOKUP(BH$2,'TIS Site Config'!$A$4:$AQ$51,6,FALSE)="Heated",
                           VLOOKUP(BH$2,'TIS Site Config'!$A$4:$AQ$51,6,FALSE)="Non-Heated")),
   IF(OR(VLOOKUP(BH$2,'TIS Site Config'!$A$3:$AQ$51,23,FALSE)="AB",
                VLOOKUP(BH$2,'TIS Site Config'!$A$3:$AQ$51,23,FALSE)="BC",
                VLOOKUP(BH$2,'TIS Site Config'!$A$3:$AQ$51,23,FALSE)="CD",
                VLOOKUP(BH$2,'TIS Site Config'!$A$3:$AQ$51,23,FALSE)="DA"),
                         1,0),
0)</f>
        <v>0</v>
      </c>
      <c r="BK105" s="44">
        <v>26</v>
      </c>
      <c r="BL105" s="950" t="b">
        <f t="shared" si="7"/>
        <v>0</v>
      </c>
      <c r="BO105" s="950"/>
    </row>
    <row r="106" spans="1:67" s="950" customFormat="1" x14ac:dyDescent="0.25">
      <c r="A106" s="1366"/>
      <c r="B106" s="1374"/>
      <c r="C106" s="69" t="s">
        <v>1123</v>
      </c>
      <c r="D106" s="91">
        <v>4</v>
      </c>
      <c r="E106" s="85" t="s">
        <v>1121</v>
      </c>
      <c r="F106" s="62">
        <f t="shared" ref="F106:F107" si="8">SUM(M106:BG106)</f>
        <v>2</v>
      </c>
      <c r="G106" s="450"/>
      <c r="H106" s="451"/>
      <c r="I106" s="451"/>
      <c r="J106" s="451"/>
      <c r="K106" s="452">
        <v>2</v>
      </c>
      <c r="L106" s="491"/>
      <c r="M106" s="141">
        <f>IF(AND(VLOOKUP(M$2,'TIS Site Config'!$A$4:$AQ$51,3,FALSE)&lt;&gt;"Soft",
                   VLOOKUP(M$2,'TIS Site Config'!$A$4:$AQ$51,6,FALSE)="Extreme Heated"),
   IF(OR(VLOOKUP(M$2,'TIS Site Config'!$A$3:$AQ$51,23,FALSE)="BA",
                VLOOKUP(M$2,'TIS Site Config'!$A$3:$AQ$51,23,FALSE)="AD",
                VLOOKUP(M$2,'TIS Site Config'!$A$3:$AQ$51,23,FALSE)="DC",
                VLOOKUP(M$2,'TIS Site Config'!$A$3:$AQ$51,23,FALSE)="CB"),
                         1,0),
0)</f>
        <v>0</v>
      </c>
      <c r="N106" s="141">
        <f>IF(AND(VLOOKUP(N$2,'TIS Site Config'!$A$4:$AQ$51,3,FALSE)&lt;&gt;"Soft",
                   VLOOKUP(N$2,'TIS Site Config'!$A$4:$AQ$51,6,FALSE)="Extreme Heated"),
   IF(OR(VLOOKUP(N$2,'TIS Site Config'!$A$3:$AQ$51,23,FALSE)="BA",
                VLOOKUP(N$2,'TIS Site Config'!$A$3:$AQ$51,23,FALSE)="AD",
                VLOOKUP(N$2,'TIS Site Config'!$A$3:$AQ$51,23,FALSE)="DC",
                VLOOKUP(N$2,'TIS Site Config'!$A$3:$AQ$51,23,FALSE)="CB"),
                         1,0),
0)</f>
        <v>0</v>
      </c>
      <c r="O106" s="141">
        <f>IF(AND(VLOOKUP(O$2,'TIS Site Config'!$A$4:$AQ$51,3,FALSE)&lt;&gt;"Soft",
                   VLOOKUP(O$2,'TIS Site Config'!$A$4:$AQ$51,6,FALSE)="Extreme Heated"),
   IF(OR(VLOOKUP(O$2,'TIS Site Config'!$A$3:$AQ$51,23,FALSE)="BA",
                VLOOKUP(O$2,'TIS Site Config'!$A$3:$AQ$51,23,FALSE)="AD",
                VLOOKUP(O$2,'TIS Site Config'!$A$3:$AQ$51,23,FALSE)="DC",
                VLOOKUP(O$2,'TIS Site Config'!$A$3:$AQ$51,23,FALSE)="CB"),
                         1,0),
0)</f>
        <v>0</v>
      </c>
      <c r="P106" s="141">
        <f>IF(AND(VLOOKUP(P$2,'TIS Site Config'!$A$4:$AQ$51,3,FALSE)&lt;&gt;"Soft",
                   VLOOKUP(P$2,'TIS Site Config'!$A$4:$AQ$51,6,FALSE)="Extreme Heated"),
   IF(OR(VLOOKUP(P$2,'TIS Site Config'!$A$3:$AQ$51,23,FALSE)="BA",
                VLOOKUP(P$2,'TIS Site Config'!$A$3:$AQ$51,23,FALSE)="AD",
                VLOOKUP(P$2,'TIS Site Config'!$A$3:$AQ$51,23,FALSE)="DC",
                VLOOKUP(P$2,'TIS Site Config'!$A$3:$AQ$51,23,FALSE)="CB"),
                         1,0),
0)</f>
        <v>0</v>
      </c>
      <c r="Q106" s="141">
        <f>IF(AND(VLOOKUP(Q$2,'TIS Site Config'!$A$4:$AQ$51,3,FALSE)&lt;&gt;"Soft",
                   VLOOKUP(Q$2,'TIS Site Config'!$A$4:$AQ$51,6,FALSE)="Extreme Heated"),
   IF(OR(VLOOKUP(Q$2,'TIS Site Config'!$A$3:$AQ$51,23,FALSE)="BA",
                VLOOKUP(Q$2,'TIS Site Config'!$A$3:$AQ$51,23,FALSE)="AD",
                VLOOKUP(Q$2,'TIS Site Config'!$A$3:$AQ$51,23,FALSE)="DC",
                VLOOKUP(Q$2,'TIS Site Config'!$A$3:$AQ$51,23,FALSE)="CB"),
                         1,0),
0)</f>
        <v>0</v>
      </c>
      <c r="R106" s="141">
        <f>IF(AND(VLOOKUP(R$2,'TIS Site Config'!$A$4:$AQ$51,3,FALSE)&lt;&gt;"Soft",
                   VLOOKUP(R$2,'TIS Site Config'!$A$4:$AQ$51,6,FALSE)="Extreme Heated"),
   IF(OR(VLOOKUP(R$2,'TIS Site Config'!$A$3:$AQ$51,23,FALSE)="BA",
                VLOOKUP(R$2,'TIS Site Config'!$A$3:$AQ$51,23,FALSE)="AD",
                VLOOKUP(R$2,'TIS Site Config'!$A$3:$AQ$51,23,FALSE)="DC",
                VLOOKUP(R$2,'TIS Site Config'!$A$3:$AQ$51,23,FALSE)="CB"),
                         1,0),
0)</f>
        <v>0</v>
      </c>
      <c r="S106" s="141">
        <f>IF(AND(VLOOKUP(S$2,'TIS Site Config'!$A$4:$AQ$51,3,FALSE)&lt;&gt;"Soft",
                   VLOOKUP(S$2,'TIS Site Config'!$A$4:$AQ$51,6,FALSE)="Extreme Heated"),
   IF(OR(VLOOKUP(S$2,'TIS Site Config'!$A$3:$AQ$51,23,FALSE)="BA",
                VLOOKUP(S$2,'TIS Site Config'!$A$3:$AQ$51,23,FALSE)="AD",
                VLOOKUP(S$2,'TIS Site Config'!$A$3:$AQ$51,23,FALSE)="DC",
                VLOOKUP(S$2,'TIS Site Config'!$A$3:$AQ$51,23,FALSE)="CB"),
                         1,0),
0)</f>
        <v>0</v>
      </c>
      <c r="T106" s="141">
        <f>IF(AND(VLOOKUP(T$2,'TIS Site Config'!$A$4:$AQ$51,3,FALSE)&lt;&gt;"Soft",
                   VLOOKUP(T$2,'TIS Site Config'!$A$4:$AQ$51,6,FALSE)="Extreme Heated"),
   IF(OR(VLOOKUP(T$2,'TIS Site Config'!$A$3:$AQ$51,23,FALSE)="BA",
                VLOOKUP(T$2,'TIS Site Config'!$A$3:$AQ$51,23,FALSE)="AD",
                VLOOKUP(T$2,'TIS Site Config'!$A$3:$AQ$51,23,FALSE)="DC",
                VLOOKUP(T$2,'TIS Site Config'!$A$3:$AQ$51,23,FALSE)="CB"),
                         1,0),
0)</f>
        <v>0</v>
      </c>
      <c r="U106" s="141">
        <f>IF(AND(VLOOKUP(U$2,'TIS Site Config'!$A$4:$AQ$51,3,FALSE)&lt;&gt;"Soft",
                   VLOOKUP(U$2,'TIS Site Config'!$A$4:$AQ$51,6,FALSE)="Extreme Heated"),
   IF(OR(VLOOKUP(U$2,'TIS Site Config'!$A$3:$AQ$51,23,FALSE)="BA",
                VLOOKUP(U$2,'TIS Site Config'!$A$3:$AQ$51,23,FALSE)="AD",
                VLOOKUP(U$2,'TIS Site Config'!$A$3:$AQ$51,23,FALSE)="DC",
                VLOOKUP(U$2,'TIS Site Config'!$A$3:$AQ$51,23,FALSE)="CB"),
                         1,0),
0)</f>
        <v>0</v>
      </c>
      <c r="V106" s="141">
        <f>IF(AND(VLOOKUP(V$2,'TIS Site Config'!$A$4:$AQ$51,3,FALSE)&lt;&gt;"Soft",
                   VLOOKUP(V$2,'TIS Site Config'!$A$4:$AQ$51,6,FALSE)="Extreme Heated"),
   IF(OR(VLOOKUP(V$2,'TIS Site Config'!$A$3:$AQ$51,23,FALSE)="BA",
                VLOOKUP(V$2,'TIS Site Config'!$A$3:$AQ$51,23,FALSE)="AD",
                VLOOKUP(V$2,'TIS Site Config'!$A$3:$AQ$51,23,FALSE)="DC",
                VLOOKUP(V$2,'TIS Site Config'!$A$3:$AQ$51,23,FALSE)="CB"),
                         1,0),
0)</f>
        <v>0</v>
      </c>
      <c r="W106" s="141">
        <f>IF(AND(VLOOKUP(W$2,'TIS Site Config'!$A$4:$AQ$51,3,FALSE)&lt;&gt;"Soft",
                   VLOOKUP(W$2,'TIS Site Config'!$A$4:$AQ$51,6,FALSE)="Extreme Heated"),
   IF(OR(VLOOKUP(W$2,'TIS Site Config'!$A$3:$AQ$51,23,FALSE)="BA",
                VLOOKUP(W$2,'TIS Site Config'!$A$3:$AQ$51,23,FALSE)="AD",
                VLOOKUP(W$2,'TIS Site Config'!$A$3:$AQ$51,23,FALSE)="DC",
                VLOOKUP(W$2,'TIS Site Config'!$A$3:$AQ$51,23,FALSE)="CB"),
                         1,0),
0)</f>
        <v>0</v>
      </c>
      <c r="X106" s="141">
        <f>IF(AND(VLOOKUP(X$2,'TIS Site Config'!$A$4:$AQ$51,3,FALSE)&lt;&gt;"Soft",
                   VLOOKUP(X$2,'TIS Site Config'!$A$4:$AQ$51,6,FALSE)="Extreme Heated"),
   IF(OR(VLOOKUP(X$2,'TIS Site Config'!$A$3:$AQ$51,23,FALSE)="BA",
                VLOOKUP(X$2,'TIS Site Config'!$A$3:$AQ$51,23,FALSE)="AD",
                VLOOKUP(X$2,'TIS Site Config'!$A$3:$AQ$51,23,FALSE)="DC",
                VLOOKUP(X$2,'TIS Site Config'!$A$3:$AQ$51,23,FALSE)="CB"),
                         1,0),
0)</f>
        <v>0</v>
      </c>
      <c r="Y106" s="141">
        <f>IF(AND(VLOOKUP(Y$2,'TIS Site Config'!$A$4:$AQ$51,3,FALSE)&lt;&gt;"Soft",
                   VLOOKUP(Y$2,'TIS Site Config'!$A$4:$AQ$51,6,FALSE)="Extreme Heated"),
   IF(OR(VLOOKUP(Y$2,'TIS Site Config'!$A$3:$AQ$51,23,FALSE)="BA",
                VLOOKUP(Y$2,'TIS Site Config'!$A$3:$AQ$51,23,FALSE)="AD",
                VLOOKUP(Y$2,'TIS Site Config'!$A$3:$AQ$51,23,FALSE)="DC",
                VLOOKUP(Y$2,'TIS Site Config'!$A$3:$AQ$51,23,FALSE)="CB"),
                         1,0),
0)</f>
        <v>0</v>
      </c>
      <c r="Z106" s="141">
        <f>IF(AND(VLOOKUP(Z$2,'TIS Site Config'!$A$4:$AQ$51,3,FALSE)&lt;&gt;"Soft",
                   VLOOKUP(Z$2,'TIS Site Config'!$A$4:$AQ$51,6,FALSE)="Extreme Heated"),
   IF(OR(VLOOKUP(Z$2,'TIS Site Config'!$A$3:$AQ$51,23,FALSE)="BA",
                VLOOKUP(Z$2,'TIS Site Config'!$A$3:$AQ$51,23,FALSE)="AD",
                VLOOKUP(Z$2,'TIS Site Config'!$A$3:$AQ$51,23,FALSE)="DC",
                VLOOKUP(Z$2,'TIS Site Config'!$A$3:$AQ$51,23,FALSE)="CB"),
                         1,0),
0)</f>
        <v>0</v>
      </c>
      <c r="AA106" s="141">
        <f>IF(AND(VLOOKUP(AA$2,'TIS Site Config'!$A$4:$AQ$51,3,FALSE)&lt;&gt;"Soft",
                   VLOOKUP(AA$2,'TIS Site Config'!$A$4:$AQ$51,6,FALSE)="Extreme Heated"),
   IF(OR(VLOOKUP(AA$2,'TIS Site Config'!$A$3:$AQ$51,23,FALSE)="BA",
                VLOOKUP(AA$2,'TIS Site Config'!$A$3:$AQ$51,23,FALSE)="AD",
                VLOOKUP(AA$2,'TIS Site Config'!$A$3:$AQ$51,23,FALSE)="DC",
                VLOOKUP(AA$2,'TIS Site Config'!$A$3:$AQ$51,23,FALSE)="CB"),
                         1,0),
0)</f>
        <v>0</v>
      </c>
      <c r="AB106" s="141">
        <f>IF(AND(VLOOKUP(AB$2,'TIS Site Config'!$A$4:$AQ$51,3,FALSE)&lt;&gt;"Soft",
                   VLOOKUP(AB$2,'TIS Site Config'!$A$4:$AQ$51,6,FALSE)="Extreme Heated"),
   IF(OR(VLOOKUP(AB$2,'TIS Site Config'!$A$3:$AQ$51,23,FALSE)="BA",
                VLOOKUP(AB$2,'TIS Site Config'!$A$3:$AQ$51,23,FALSE)="AD",
                VLOOKUP(AB$2,'TIS Site Config'!$A$3:$AQ$51,23,FALSE)="DC",
                VLOOKUP(AB$2,'TIS Site Config'!$A$3:$AQ$51,23,FALSE)="CB"),
                         1,0),
0)</f>
        <v>0</v>
      </c>
      <c r="AC106" s="141">
        <f>IF(AND(VLOOKUP(AC$2,'TIS Site Config'!$A$4:$AQ$51,3,FALSE)&lt;&gt;"Soft",
                   VLOOKUP(AC$2,'TIS Site Config'!$A$4:$AQ$51,6,FALSE)="Extreme Heated"),
   IF(OR(VLOOKUP(AC$2,'TIS Site Config'!$A$3:$AQ$51,23,FALSE)="BA",
                VLOOKUP(AC$2,'TIS Site Config'!$A$3:$AQ$51,23,FALSE)="AD",
                VLOOKUP(AC$2,'TIS Site Config'!$A$3:$AQ$51,23,FALSE)="DC",
                VLOOKUP(AC$2,'TIS Site Config'!$A$3:$AQ$51,23,FALSE)="CB"),
                         1,0),
0)</f>
        <v>0</v>
      </c>
      <c r="AD106" s="141">
        <f>IF(AND(VLOOKUP(AD$2,'TIS Site Config'!$A$4:$AQ$51,3,FALSE)&lt;&gt;"Soft",
                   VLOOKUP(AD$2,'TIS Site Config'!$A$4:$AQ$51,6,FALSE)="Extreme Heated"),
   IF(OR(VLOOKUP(AD$2,'TIS Site Config'!$A$3:$AQ$51,23,FALSE)="BA",
                VLOOKUP(AD$2,'TIS Site Config'!$A$3:$AQ$51,23,FALSE)="AD",
                VLOOKUP(AD$2,'TIS Site Config'!$A$3:$AQ$51,23,FALSE)="DC",
                VLOOKUP(AD$2,'TIS Site Config'!$A$3:$AQ$51,23,FALSE)="CB"),
                         1,0),
0)</f>
        <v>0</v>
      </c>
      <c r="AE106" s="141">
        <f>IF(AND(VLOOKUP(AE$2,'TIS Site Config'!$A$4:$AQ$51,3,FALSE)&lt;&gt;"Soft",
                   VLOOKUP(AE$2,'TIS Site Config'!$A$4:$AQ$51,6,FALSE)="Extreme Heated"),
   IF(OR(VLOOKUP(AE$2,'TIS Site Config'!$A$3:$AQ$51,23,FALSE)="BA",
                VLOOKUP(AE$2,'TIS Site Config'!$A$3:$AQ$51,23,FALSE)="AD",
                VLOOKUP(AE$2,'TIS Site Config'!$A$3:$AQ$51,23,FALSE)="DC",
                VLOOKUP(AE$2,'TIS Site Config'!$A$3:$AQ$51,23,FALSE)="CB"),
                         1,0),
0)</f>
        <v>0</v>
      </c>
      <c r="AF106" s="141">
        <f>IF(AND(VLOOKUP(AF$2,'TIS Site Config'!$A$4:$AQ$51,3,FALSE)&lt;&gt;"Soft",
                   VLOOKUP(AF$2,'TIS Site Config'!$A$4:$AQ$51,6,FALSE)="Extreme Heated"),
   IF(OR(VLOOKUP(AF$2,'TIS Site Config'!$A$3:$AQ$51,23,FALSE)="BA",
                VLOOKUP(AF$2,'TIS Site Config'!$A$3:$AQ$51,23,FALSE)="AD",
                VLOOKUP(AF$2,'TIS Site Config'!$A$3:$AQ$51,23,FALSE)="DC",
                VLOOKUP(AF$2,'TIS Site Config'!$A$3:$AQ$51,23,FALSE)="CB"),
                         1,0),
0)</f>
        <v>0</v>
      </c>
      <c r="AG106" s="141">
        <f>IF(AND(VLOOKUP(AG$2,'TIS Site Config'!$A$4:$AQ$51,3,FALSE)&lt;&gt;"Soft",
                   VLOOKUP(AG$2,'TIS Site Config'!$A$4:$AQ$51,6,FALSE)="Extreme Heated"),
   IF(OR(VLOOKUP(AG$2,'TIS Site Config'!$A$3:$AQ$51,23,FALSE)="BA",
                VLOOKUP(AG$2,'TIS Site Config'!$A$3:$AQ$51,23,FALSE)="AD",
                VLOOKUP(AG$2,'TIS Site Config'!$A$3:$AQ$51,23,FALSE)="DC",
                VLOOKUP(AG$2,'TIS Site Config'!$A$3:$AQ$51,23,FALSE)="CB"),
                         1,0),
0)</f>
        <v>0</v>
      </c>
      <c r="AH106" s="141">
        <f>IF(AND(VLOOKUP(AH$2,'TIS Site Config'!$A$4:$AQ$51,3,FALSE)&lt;&gt;"Soft",
                   VLOOKUP(AH$2,'TIS Site Config'!$A$4:$AQ$51,6,FALSE)="Extreme Heated"),
   IF(OR(VLOOKUP(AH$2,'TIS Site Config'!$A$3:$AQ$51,23,FALSE)="BA",
                VLOOKUP(AH$2,'TIS Site Config'!$A$3:$AQ$51,23,FALSE)="AD",
                VLOOKUP(AH$2,'TIS Site Config'!$A$3:$AQ$51,23,FALSE)="DC",
                VLOOKUP(AH$2,'TIS Site Config'!$A$3:$AQ$51,23,FALSE)="CB"),
                         1,0),
0)</f>
        <v>0</v>
      </c>
      <c r="AI106" s="141">
        <f>IF(AND(VLOOKUP(AI$2,'TIS Site Config'!$A$4:$AQ$51,3,FALSE)&lt;&gt;"Soft",
                   VLOOKUP(AI$2,'TIS Site Config'!$A$4:$AQ$51,6,FALSE)="Extreme Heated"),
   IF(OR(VLOOKUP(AI$2,'TIS Site Config'!$A$3:$AQ$51,23,FALSE)="BA",
                VLOOKUP(AI$2,'TIS Site Config'!$A$3:$AQ$51,23,FALSE)="AD",
                VLOOKUP(AI$2,'TIS Site Config'!$A$3:$AQ$51,23,FALSE)="DC",
                VLOOKUP(AI$2,'TIS Site Config'!$A$3:$AQ$51,23,FALSE)="CB"),
                         1,0),
0)</f>
        <v>0</v>
      </c>
      <c r="AJ106" s="141">
        <f>IF(AND(VLOOKUP(AJ$2,'TIS Site Config'!$A$4:$AQ$51,3,FALSE)&lt;&gt;"Soft",
                   VLOOKUP(AJ$2,'TIS Site Config'!$A$4:$AQ$51,6,FALSE)="Extreme Heated"),
   IF(OR(VLOOKUP(AJ$2,'TIS Site Config'!$A$3:$AQ$51,23,FALSE)="BA",
                VLOOKUP(AJ$2,'TIS Site Config'!$A$3:$AQ$51,23,FALSE)="AD",
                VLOOKUP(AJ$2,'TIS Site Config'!$A$3:$AQ$51,23,FALSE)="DC",
                VLOOKUP(AJ$2,'TIS Site Config'!$A$3:$AQ$51,23,FALSE)="CB"),
                         1,0),
0)</f>
        <v>0</v>
      </c>
      <c r="AK106" s="141">
        <f>IF(AND(VLOOKUP(AK$2,'TIS Site Config'!$A$4:$AQ$51,3,FALSE)&lt;&gt;"Soft",
                   VLOOKUP(AK$2,'TIS Site Config'!$A$4:$AQ$51,6,FALSE)="Extreme Heated"),
   IF(OR(VLOOKUP(AK$2,'TIS Site Config'!$A$3:$AQ$51,23,FALSE)="BA",
                VLOOKUP(AK$2,'TIS Site Config'!$A$3:$AQ$51,23,FALSE)="AD",
                VLOOKUP(AK$2,'TIS Site Config'!$A$3:$AQ$51,23,FALSE)="DC",
                VLOOKUP(AK$2,'TIS Site Config'!$A$3:$AQ$51,23,FALSE)="CB"),
                         1,0),
0)</f>
        <v>0</v>
      </c>
      <c r="AL106" s="141">
        <f>IF(AND(VLOOKUP(AL$2,'TIS Site Config'!$A$4:$AQ$51,3,FALSE)&lt;&gt;"Soft",
                   VLOOKUP(AL$2,'TIS Site Config'!$A$4:$AQ$51,6,FALSE)="Extreme Heated"),
   IF(OR(VLOOKUP(AL$2,'TIS Site Config'!$A$3:$AQ$51,23,FALSE)="BA",
                VLOOKUP(AL$2,'TIS Site Config'!$A$3:$AQ$51,23,FALSE)="AD",
                VLOOKUP(AL$2,'TIS Site Config'!$A$3:$AQ$51,23,FALSE)="DC",
                VLOOKUP(AL$2,'TIS Site Config'!$A$3:$AQ$51,23,FALSE)="CB"),
                         1,0),
0)</f>
        <v>0</v>
      </c>
      <c r="AM106" s="141">
        <f>IF(AND(VLOOKUP(AM$2,'TIS Site Config'!$A$4:$AQ$51,3,FALSE)&lt;&gt;"Soft",
                   VLOOKUP(AM$2,'TIS Site Config'!$A$4:$AQ$51,6,FALSE)="Extreme Heated"),
   IF(OR(VLOOKUP(AM$2,'TIS Site Config'!$A$3:$AQ$51,23,FALSE)="BA",
                VLOOKUP(AM$2,'TIS Site Config'!$A$3:$AQ$51,23,FALSE)="AD",
                VLOOKUP(AM$2,'TIS Site Config'!$A$3:$AQ$51,23,FALSE)="DC",
                VLOOKUP(AM$2,'TIS Site Config'!$A$3:$AQ$51,23,FALSE)="CB"),
                         1,0),
0)</f>
        <v>0</v>
      </c>
      <c r="AN106" s="141">
        <f>IF(AND(VLOOKUP(AN$2,'TIS Site Config'!$A$4:$AQ$51,3,FALSE)&lt;&gt;"Soft",
                   VLOOKUP(AN$2,'TIS Site Config'!$A$4:$AQ$51,6,FALSE)="Extreme Heated"),
   IF(OR(VLOOKUP(AN$2,'TIS Site Config'!$A$3:$AQ$51,23,FALSE)="BA",
                VLOOKUP(AN$2,'TIS Site Config'!$A$3:$AQ$51,23,FALSE)="AD",
                VLOOKUP(AN$2,'TIS Site Config'!$A$3:$AQ$51,23,FALSE)="DC",
                VLOOKUP(AN$2,'TIS Site Config'!$A$3:$AQ$51,23,FALSE)="CB"),
                         1,0),
0)</f>
        <v>0</v>
      </c>
      <c r="AO106" s="141">
        <f>IF(AND(VLOOKUP(AO$2,'TIS Site Config'!$A$4:$AQ$51,3,FALSE)&lt;&gt;"Soft",
                   VLOOKUP(AO$2,'TIS Site Config'!$A$4:$AQ$51,6,FALSE)="Extreme Heated"),
   IF(OR(VLOOKUP(AO$2,'TIS Site Config'!$A$3:$AQ$51,23,FALSE)="BA",
                VLOOKUP(AO$2,'TIS Site Config'!$A$3:$AQ$51,23,FALSE)="AD",
                VLOOKUP(AO$2,'TIS Site Config'!$A$3:$AQ$51,23,FALSE)="DC",
                VLOOKUP(AO$2,'TIS Site Config'!$A$3:$AQ$51,23,FALSE)="CB"),
                         1,0),
0)</f>
        <v>0</v>
      </c>
      <c r="AP106" s="141">
        <f>IF(AND(VLOOKUP(AP$2,'TIS Site Config'!$A$4:$AQ$51,3,FALSE)&lt;&gt;"Soft",
                   VLOOKUP(AP$2,'TIS Site Config'!$A$4:$AQ$51,6,FALSE)="Extreme Heated"),
   IF(OR(VLOOKUP(AP$2,'TIS Site Config'!$A$3:$AQ$51,23,FALSE)="BA",
                VLOOKUP(AP$2,'TIS Site Config'!$A$3:$AQ$51,23,FALSE)="AD",
                VLOOKUP(AP$2,'TIS Site Config'!$A$3:$AQ$51,23,FALSE)="DC",
                VLOOKUP(AP$2,'TIS Site Config'!$A$3:$AQ$51,23,FALSE)="CB"),
                         1,0),
0)</f>
        <v>0</v>
      </c>
      <c r="AQ106" s="141">
        <f>IF(AND(VLOOKUP(AQ$2,'TIS Site Config'!$A$4:$AQ$51,3,FALSE)&lt;&gt;"Soft",
                   VLOOKUP(AQ$2,'TIS Site Config'!$A$4:$AQ$51,6,FALSE)="Extreme Heated"),
   IF(OR(VLOOKUP(AQ$2,'TIS Site Config'!$A$3:$AQ$51,23,FALSE)="BA",
                VLOOKUP(AQ$2,'TIS Site Config'!$A$3:$AQ$51,23,FALSE)="AD",
                VLOOKUP(AQ$2,'TIS Site Config'!$A$3:$AQ$51,23,FALSE)="DC",
                VLOOKUP(AQ$2,'TIS Site Config'!$A$3:$AQ$51,23,FALSE)="CB"),
                         1,0),
0)</f>
        <v>0</v>
      </c>
      <c r="AR106" s="141">
        <f>IF(AND(VLOOKUP(AR$2,'TIS Site Config'!$A$4:$AQ$51,3,FALSE)&lt;&gt;"Soft",
                   VLOOKUP(AR$2,'TIS Site Config'!$A$4:$AQ$51,6,FALSE)="Extreme Heated"),
   IF(OR(VLOOKUP(AR$2,'TIS Site Config'!$A$3:$AQ$51,23,FALSE)="BA",
                VLOOKUP(AR$2,'TIS Site Config'!$A$3:$AQ$51,23,FALSE)="AD",
                VLOOKUP(AR$2,'TIS Site Config'!$A$3:$AQ$51,23,FALSE)="DC",
                VLOOKUP(AR$2,'TIS Site Config'!$A$3:$AQ$51,23,FALSE)="CB"),
                         1,0),
0)</f>
        <v>1</v>
      </c>
      <c r="AS106" s="141">
        <f>IF(AND(VLOOKUP(AS$2,'TIS Site Config'!$A$4:$AQ$51,3,FALSE)&lt;&gt;"Soft",
                   VLOOKUP(AS$2,'TIS Site Config'!$A$4:$AQ$51,6,FALSE)="Extreme Heated"),
   IF(OR(VLOOKUP(AS$2,'TIS Site Config'!$A$3:$AQ$51,23,FALSE)="BA",
                VLOOKUP(AS$2,'TIS Site Config'!$A$3:$AQ$51,23,FALSE)="AD",
                VLOOKUP(AS$2,'TIS Site Config'!$A$3:$AQ$51,23,FALSE)="DC",
                VLOOKUP(AS$2,'TIS Site Config'!$A$3:$AQ$51,23,FALSE)="CB"),
                         1,0),
0)</f>
        <v>0</v>
      </c>
      <c r="AT106" s="141">
        <f>IF(AND(VLOOKUP(AT$2,'TIS Site Config'!$A$4:$AQ$51,3,FALSE)&lt;&gt;"Soft",
                   VLOOKUP(AT$2,'TIS Site Config'!$A$4:$AQ$51,6,FALSE)="Extreme Heated"),
   IF(OR(VLOOKUP(AT$2,'TIS Site Config'!$A$3:$AQ$51,23,FALSE)="BA",
                VLOOKUP(AT$2,'TIS Site Config'!$A$3:$AQ$51,23,FALSE)="AD",
                VLOOKUP(AT$2,'TIS Site Config'!$A$3:$AQ$51,23,FALSE)="DC",
                VLOOKUP(AT$2,'TIS Site Config'!$A$3:$AQ$51,23,FALSE)="CB"),
                         1,0),
0)</f>
        <v>0</v>
      </c>
      <c r="AU106" s="141">
        <f>IF(AND(VLOOKUP(AU$2,'TIS Site Config'!$A$4:$AQ$51,3,FALSE)&lt;&gt;"Soft",
                   VLOOKUP(AU$2,'TIS Site Config'!$A$4:$AQ$51,6,FALSE)="Extreme Heated"),
   IF(OR(VLOOKUP(AU$2,'TIS Site Config'!$A$3:$AQ$51,23,FALSE)="BA",
                VLOOKUP(AU$2,'TIS Site Config'!$A$3:$AQ$51,23,FALSE)="AD",
                VLOOKUP(AU$2,'TIS Site Config'!$A$3:$AQ$51,23,FALSE)="DC",
                VLOOKUP(AU$2,'TIS Site Config'!$A$3:$AQ$51,23,FALSE)="CB"),
                         1,0),
0)</f>
        <v>0</v>
      </c>
      <c r="AV106" s="141">
        <f>IF(AND(VLOOKUP(AV$2,'TIS Site Config'!$A$4:$AQ$51,3,FALSE)&lt;&gt;"Soft",
                   VLOOKUP(AV$2,'TIS Site Config'!$A$4:$AQ$51,6,FALSE)="Extreme Heated"),
   IF(OR(VLOOKUP(AV$2,'TIS Site Config'!$A$3:$AQ$51,23,FALSE)="BA",
                VLOOKUP(AV$2,'TIS Site Config'!$A$3:$AQ$51,23,FALSE)="AD",
                VLOOKUP(AV$2,'TIS Site Config'!$A$3:$AQ$51,23,FALSE)="DC",
                VLOOKUP(AV$2,'TIS Site Config'!$A$3:$AQ$51,23,FALSE)="CB"),
                         1,0),
0)</f>
        <v>0</v>
      </c>
      <c r="AW106" s="141">
        <f>IF(AND(VLOOKUP(AW$2,'TIS Site Config'!$A$4:$AQ$51,3,FALSE)&lt;&gt;"Soft",
                   VLOOKUP(AW$2,'TIS Site Config'!$A$4:$AQ$51,6,FALSE)="Extreme Heated"),
   IF(OR(VLOOKUP(AW$2,'TIS Site Config'!$A$3:$AQ$51,23,FALSE)="BA",
                VLOOKUP(AW$2,'TIS Site Config'!$A$3:$AQ$51,23,FALSE)="AD",
                VLOOKUP(AW$2,'TIS Site Config'!$A$3:$AQ$51,23,FALSE)="DC",
                VLOOKUP(AW$2,'TIS Site Config'!$A$3:$AQ$51,23,FALSE)="CB"),
                         1,0),
0)</f>
        <v>0</v>
      </c>
      <c r="AX106" s="141">
        <f>IF(AND(VLOOKUP(AX$2,'TIS Site Config'!$A$4:$AQ$51,3,FALSE)&lt;&gt;"Soft",
                   VLOOKUP(AX$2,'TIS Site Config'!$A$4:$AQ$51,6,FALSE)="Extreme Heated"),
   IF(OR(VLOOKUP(AX$2,'TIS Site Config'!$A$3:$AQ$51,23,FALSE)="BA",
                VLOOKUP(AX$2,'TIS Site Config'!$A$3:$AQ$51,23,FALSE)="AD",
                VLOOKUP(AX$2,'TIS Site Config'!$A$3:$AQ$51,23,FALSE)="DC",
                VLOOKUP(AX$2,'TIS Site Config'!$A$3:$AQ$51,23,FALSE)="CB"),
                         1,0),
0)</f>
        <v>0</v>
      </c>
      <c r="AY106" s="141">
        <f>IF(AND(VLOOKUP(AY$2,'TIS Site Config'!$A$4:$AQ$51,3,FALSE)&lt;&gt;"Soft",
                   VLOOKUP(AY$2,'TIS Site Config'!$A$4:$AQ$51,6,FALSE)="Extreme Heated"),
   IF(OR(VLOOKUP(AY$2,'TIS Site Config'!$A$3:$AQ$51,23,FALSE)="BA",
                VLOOKUP(AY$2,'TIS Site Config'!$A$3:$AQ$51,23,FALSE)="AD",
                VLOOKUP(AY$2,'TIS Site Config'!$A$3:$AQ$51,23,FALSE)="DC",
                VLOOKUP(AY$2,'TIS Site Config'!$A$3:$AQ$51,23,FALSE)="CB"),
                         1,0),
0)</f>
        <v>0</v>
      </c>
      <c r="AZ106" s="141">
        <f>IF(AND(VLOOKUP(AZ$2,'TIS Site Config'!$A$4:$AQ$51,3,FALSE)&lt;&gt;"Soft",
                   VLOOKUP(AZ$2,'TIS Site Config'!$A$4:$AQ$51,6,FALSE)="Extreme Heated"),
   IF(OR(VLOOKUP(AZ$2,'TIS Site Config'!$A$3:$AQ$51,23,FALSE)="BA",
                VLOOKUP(AZ$2,'TIS Site Config'!$A$3:$AQ$51,23,FALSE)="AD",
                VLOOKUP(AZ$2,'TIS Site Config'!$A$3:$AQ$51,23,FALSE)="DC",
                VLOOKUP(AZ$2,'TIS Site Config'!$A$3:$AQ$51,23,FALSE)="CB"),
                         1,0),
0)</f>
        <v>0</v>
      </c>
      <c r="BA106" s="141">
        <f>IF(AND(VLOOKUP(BA$2,'TIS Site Config'!$A$4:$AQ$51,3,FALSE)&lt;&gt;"Soft",
                   VLOOKUP(BA$2,'TIS Site Config'!$A$4:$AQ$51,6,FALSE)="Extreme Heated"),
   IF(OR(VLOOKUP(BA$2,'TIS Site Config'!$A$3:$AQ$51,23,FALSE)="BA",
                VLOOKUP(BA$2,'TIS Site Config'!$A$3:$AQ$51,23,FALSE)="AD",
                VLOOKUP(BA$2,'TIS Site Config'!$A$3:$AQ$51,23,FALSE)="DC",
                VLOOKUP(BA$2,'TIS Site Config'!$A$3:$AQ$51,23,FALSE)="CB"),
                         1,0),
0)</f>
        <v>0</v>
      </c>
      <c r="BB106" s="141">
        <f>IF(AND(VLOOKUP(BB$2,'TIS Site Config'!$A$4:$AQ$51,3,FALSE)&lt;&gt;"Soft",
                   VLOOKUP(BB$2,'TIS Site Config'!$A$4:$AQ$51,6,FALSE)="Extreme Heated"),
   IF(OR(VLOOKUP(BB$2,'TIS Site Config'!$A$3:$AQ$51,23,FALSE)="BA",
                VLOOKUP(BB$2,'TIS Site Config'!$A$3:$AQ$51,23,FALSE)="AD",
                VLOOKUP(BB$2,'TIS Site Config'!$A$3:$AQ$51,23,FALSE)="DC",
                VLOOKUP(BB$2,'TIS Site Config'!$A$3:$AQ$51,23,FALSE)="CB"),
                         1,0),
0)</f>
        <v>1</v>
      </c>
      <c r="BC106" s="141">
        <f>IF(AND(VLOOKUP(BC$2,'TIS Site Config'!$A$4:$AQ$51,3,FALSE)&lt;&gt;"Soft",
                   VLOOKUP(BC$2,'TIS Site Config'!$A$4:$AQ$51,6,FALSE)="Extreme Heated"),
   IF(OR(VLOOKUP(BC$2,'TIS Site Config'!$A$3:$AQ$51,23,FALSE)="BA",
                VLOOKUP(BC$2,'TIS Site Config'!$A$3:$AQ$51,23,FALSE)="AD",
                VLOOKUP(BC$2,'TIS Site Config'!$A$3:$AQ$51,23,FALSE)="DC",
                VLOOKUP(BC$2,'TIS Site Config'!$A$3:$AQ$51,23,FALSE)="CB"),
                         1,0),
0)</f>
        <v>0</v>
      </c>
      <c r="BD106" s="141">
        <f>IF(AND(VLOOKUP(BD$2,'TIS Site Config'!$A$4:$AQ$51,3,FALSE)&lt;&gt;"Soft",
                   VLOOKUP(BD$2,'TIS Site Config'!$A$4:$AQ$51,6,FALSE)="Extreme Heated"),
   IF(OR(VLOOKUP(BD$2,'TIS Site Config'!$A$3:$AQ$51,23,FALSE)="BA",
                VLOOKUP(BD$2,'TIS Site Config'!$A$3:$AQ$51,23,FALSE)="AD",
                VLOOKUP(BD$2,'TIS Site Config'!$A$3:$AQ$51,23,FALSE)="DC",
                VLOOKUP(BD$2,'TIS Site Config'!$A$3:$AQ$51,23,FALSE)="CB"),
                         1,0),
0)</f>
        <v>0</v>
      </c>
      <c r="BE106" s="141">
        <f>IF(AND(VLOOKUP(BE$2,'TIS Site Config'!$A$4:$AQ$51,3,FALSE)&lt;&gt;"Soft",
                   VLOOKUP(BE$2,'TIS Site Config'!$A$4:$AQ$51,6,FALSE)="Extreme Heated"),
   IF(OR(VLOOKUP(BE$2,'TIS Site Config'!$A$3:$AQ$51,23,FALSE)="BA",
                VLOOKUP(BE$2,'TIS Site Config'!$A$3:$AQ$51,23,FALSE)="AD",
                VLOOKUP(BE$2,'TIS Site Config'!$A$3:$AQ$51,23,FALSE)="DC",
                VLOOKUP(BE$2,'TIS Site Config'!$A$3:$AQ$51,23,FALSE)="CB"),
                         1,0),
0)</f>
        <v>0</v>
      </c>
      <c r="BF106" s="141">
        <f>IF(AND(VLOOKUP(BF$2,'TIS Site Config'!$A$4:$AQ$51,3,FALSE)&lt;&gt;"Soft",
                   VLOOKUP(BF$2,'TIS Site Config'!$A$4:$AQ$51,6,FALSE)="Extreme Heated"),
   IF(OR(VLOOKUP(BF$2,'TIS Site Config'!$A$3:$AQ$51,23,FALSE)="BA",
                VLOOKUP(BF$2,'TIS Site Config'!$A$3:$AQ$51,23,FALSE)="AD",
                VLOOKUP(BF$2,'TIS Site Config'!$A$3:$AQ$51,23,FALSE)="DC",
                VLOOKUP(BF$2,'TIS Site Config'!$A$3:$AQ$51,23,FALSE)="CB"),
                         1,0),
0)</f>
        <v>0</v>
      </c>
      <c r="BG106" s="141">
        <f>IF(AND(VLOOKUP(BG$2,'TIS Site Config'!$A$4:$AQ$51,3,FALSE)&lt;&gt;"Soft",
                   VLOOKUP(BG$2,'TIS Site Config'!$A$4:$AQ$51,6,FALSE)="Extreme Heated"),
   IF(OR(VLOOKUP(BG$2,'TIS Site Config'!$A$3:$AQ$51,23,FALSE)="BA",
                VLOOKUP(BG$2,'TIS Site Config'!$A$3:$AQ$51,23,FALSE)="AD",
                VLOOKUP(BG$2,'TIS Site Config'!$A$3:$AQ$51,23,FALSE)="DC",
                VLOOKUP(BG$2,'TIS Site Config'!$A$3:$AQ$51,23,FALSE)="CB"),
                         1,0),
0)</f>
        <v>0</v>
      </c>
      <c r="BH106" s="141">
        <f>IF(AND(VLOOKUP(BH$2,'TIS Site Config'!$A$4:$AQ$51,3,FALSE)&lt;&gt;"Soft",
                   VLOOKUP(BH$2,'TIS Site Config'!$A$4:$AQ$51,6,FALSE)="Extreme Heated"),
   IF(OR(VLOOKUP(BH$2,'TIS Site Config'!$A$3:$AQ$51,23,FALSE)="BA",
                VLOOKUP(BH$2,'TIS Site Config'!$A$3:$AQ$51,23,FALSE)="AD",
                VLOOKUP(BH$2,'TIS Site Config'!$A$3:$AQ$51,23,FALSE)="DC",
                VLOOKUP(BH$2,'TIS Site Config'!$A$3:$AQ$51,23,FALSE)="CB"),
                         1,0),
0)</f>
        <v>0</v>
      </c>
    </row>
    <row r="107" spans="1:67" s="950" customFormat="1" x14ac:dyDescent="0.25">
      <c r="A107" s="1366"/>
      <c r="B107" s="1374"/>
      <c r="C107" s="69" t="s">
        <v>1124</v>
      </c>
      <c r="D107" s="97">
        <v>4</v>
      </c>
      <c r="E107" s="114" t="s">
        <v>1122</v>
      </c>
      <c r="F107" s="253">
        <f t="shared" si="8"/>
        <v>4</v>
      </c>
      <c r="G107" s="456"/>
      <c r="H107" s="457"/>
      <c r="I107" s="457"/>
      <c r="J107" s="457"/>
      <c r="K107" s="485">
        <v>2</v>
      </c>
      <c r="L107" s="501"/>
      <c r="M107" s="141">
        <f>IF(AND(VLOOKUP(M$2,'TIS Site Config'!$A$4:$AQ$51,3,FALSE)&lt;&gt;"Soft",
                   VLOOKUP(M$2,'TIS Site Config'!$A$4:$AQ$51,6,FALSE)="Extreme Heated"),
   IF(OR(VLOOKUP(M$2,'TIS Site Config'!$A$3:$AQ$51,23,FALSE)="AB",
                VLOOKUP(M$2,'TIS Site Config'!$A$3:$AQ$51,23,FALSE)="BC",
                VLOOKUP(M$2,'TIS Site Config'!$A$3:$AQ$51,23,FALSE)="CD",
                VLOOKUP(M$2,'TIS Site Config'!$A$3:$AQ$51,23,FALSE)="DA"),
                         1,0),
0)</f>
        <v>0</v>
      </c>
      <c r="N107" s="141">
        <f>IF(AND(VLOOKUP(N$2,'TIS Site Config'!$A$4:$AQ$51,3,FALSE)&lt;&gt;"Soft",
                   VLOOKUP(N$2,'TIS Site Config'!$A$4:$AQ$51,6,FALSE)="Extreme Heated"),
   IF(OR(VLOOKUP(N$2,'TIS Site Config'!$A$3:$AQ$51,23,FALSE)="AB",
                VLOOKUP(N$2,'TIS Site Config'!$A$3:$AQ$51,23,FALSE)="BC",
                VLOOKUP(N$2,'TIS Site Config'!$A$3:$AQ$51,23,FALSE)="CD",
                VLOOKUP(N$2,'TIS Site Config'!$A$3:$AQ$51,23,FALSE)="DA"),
                         1,0),
0)</f>
        <v>0</v>
      </c>
      <c r="O107" s="141">
        <f>IF(AND(VLOOKUP(O$2,'TIS Site Config'!$A$4:$AQ$51,3,FALSE)&lt;&gt;"Soft",
                   VLOOKUP(O$2,'TIS Site Config'!$A$4:$AQ$51,6,FALSE)="Extreme Heated"),
   IF(OR(VLOOKUP(O$2,'TIS Site Config'!$A$3:$AQ$51,23,FALSE)="AB",
                VLOOKUP(O$2,'TIS Site Config'!$A$3:$AQ$51,23,FALSE)="BC",
                VLOOKUP(O$2,'TIS Site Config'!$A$3:$AQ$51,23,FALSE)="CD",
                VLOOKUP(O$2,'TIS Site Config'!$A$3:$AQ$51,23,FALSE)="DA"),
                         1,0),
0)</f>
        <v>0</v>
      </c>
      <c r="P107" s="141">
        <f>IF(AND(VLOOKUP(P$2,'TIS Site Config'!$A$4:$AQ$51,3,FALSE)&lt;&gt;"Soft",
                   VLOOKUP(P$2,'TIS Site Config'!$A$4:$AQ$51,6,FALSE)="Extreme Heated"),
   IF(OR(VLOOKUP(P$2,'TIS Site Config'!$A$3:$AQ$51,23,FALSE)="AB",
                VLOOKUP(P$2,'TIS Site Config'!$A$3:$AQ$51,23,FALSE)="BC",
                VLOOKUP(P$2,'TIS Site Config'!$A$3:$AQ$51,23,FALSE)="CD",
                VLOOKUP(P$2,'TIS Site Config'!$A$3:$AQ$51,23,FALSE)="DA"),
                         1,0),
0)</f>
        <v>0</v>
      </c>
      <c r="Q107" s="141">
        <f>IF(AND(VLOOKUP(Q$2,'TIS Site Config'!$A$4:$AQ$51,3,FALSE)&lt;&gt;"Soft",
                   VLOOKUP(Q$2,'TIS Site Config'!$A$4:$AQ$51,6,FALSE)="Extreme Heated"),
   IF(OR(VLOOKUP(Q$2,'TIS Site Config'!$A$3:$AQ$51,23,FALSE)="AB",
                VLOOKUP(Q$2,'TIS Site Config'!$A$3:$AQ$51,23,FALSE)="BC",
                VLOOKUP(Q$2,'TIS Site Config'!$A$3:$AQ$51,23,FALSE)="CD",
                VLOOKUP(Q$2,'TIS Site Config'!$A$3:$AQ$51,23,FALSE)="DA"),
                         1,0),
0)</f>
        <v>0</v>
      </c>
      <c r="R107" s="141">
        <f>IF(AND(VLOOKUP(R$2,'TIS Site Config'!$A$4:$AQ$51,3,FALSE)&lt;&gt;"Soft",
                   VLOOKUP(R$2,'TIS Site Config'!$A$4:$AQ$51,6,FALSE)="Extreme Heated"),
   IF(OR(VLOOKUP(R$2,'TIS Site Config'!$A$3:$AQ$51,23,FALSE)="AB",
                VLOOKUP(R$2,'TIS Site Config'!$A$3:$AQ$51,23,FALSE)="BC",
                VLOOKUP(R$2,'TIS Site Config'!$A$3:$AQ$51,23,FALSE)="CD",
                VLOOKUP(R$2,'TIS Site Config'!$A$3:$AQ$51,23,FALSE)="DA"),
                         1,0),
0)</f>
        <v>0</v>
      </c>
      <c r="S107" s="141">
        <f>IF(AND(VLOOKUP(S$2,'TIS Site Config'!$A$4:$AQ$51,3,FALSE)&lt;&gt;"Soft",
                   VLOOKUP(S$2,'TIS Site Config'!$A$4:$AQ$51,6,FALSE)="Extreme Heated"),
   IF(OR(VLOOKUP(S$2,'TIS Site Config'!$A$3:$AQ$51,23,FALSE)="AB",
                VLOOKUP(S$2,'TIS Site Config'!$A$3:$AQ$51,23,FALSE)="BC",
                VLOOKUP(S$2,'TIS Site Config'!$A$3:$AQ$51,23,FALSE)="CD",
                VLOOKUP(S$2,'TIS Site Config'!$A$3:$AQ$51,23,FALSE)="DA"),
                         1,0),
0)</f>
        <v>0</v>
      </c>
      <c r="T107" s="141">
        <f>IF(AND(VLOOKUP(T$2,'TIS Site Config'!$A$4:$AQ$51,3,FALSE)&lt;&gt;"Soft",
                   VLOOKUP(T$2,'TIS Site Config'!$A$4:$AQ$51,6,FALSE)="Extreme Heated"),
   IF(OR(VLOOKUP(T$2,'TIS Site Config'!$A$3:$AQ$51,23,FALSE)="AB",
                VLOOKUP(T$2,'TIS Site Config'!$A$3:$AQ$51,23,FALSE)="BC",
                VLOOKUP(T$2,'TIS Site Config'!$A$3:$AQ$51,23,FALSE)="CD",
                VLOOKUP(T$2,'TIS Site Config'!$A$3:$AQ$51,23,FALSE)="DA"),
                         1,0),
0)</f>
        <v>0</v>
      </c>
      <c r="U107" s="141">
        <f>IF(AND(VLOOKUP(U$2,'TIS Site Config'!$A$4:$AQ$51,3,FALSE)&lt;&gt;"Soft",
                   VLOOKUP(U$2,'TIS Site Config'!$A$4:$AQ$51,6,FALSE)="Extreme Heated"),
   IF(OR(VLOOKUP(U$2,'TIS Site Config'!$A$3:$AQ$51,23,FALSE)="AB",
                VLOOKUP(U$2,'TIS Site Config'!$A$3:$AQ$51,23,FALSE)="BC",
                VLOOKUP(U$2,'TIS Site Config'!$A$3:$AQ$51,23,FALSE)="CD",
                VLOOKUP(U$2,'TIS Site Config'!$A$3:$AQ$51,23,FALSE)="DA"),
                         1,0),
0)</f>
        <v>0</v>
      </c>
      <c r="V107" s="141">
        <f>IF(AND(VLOOKUP(V$2,'TIS Site Config'!$A$4:$AQ$51,3,FALSE)&lt;&gt;"Soft",
                   VLOOKUP(V$2,'TIS Site Config'!$A$4:$AQ$51,6,FALSE)="Extreme Heated"),
   IF(OR(VLOOKUP(V$2,'TIS Site Config'!$A$3:$AQ$51,23,FALSE)="AB",
                VLOOKUP(V$2,'TIS Site Config'!$A$3:$AQ$51,23,FALSE)="BC",
                VLOOKUP(V$2,'TIS Site Config'!$A$3:$AQ$51,23,FALSE)="CD",
                VLOOKUP(V$2,'TIS Site Config'!$A$3:$AQ$51,23,FALSE)="DA"),
                         1,0),
0)</f>
        <v>0</v>
      </c>
      <c r="W107" s="141">
        <f>IF(AND(VLOOKUP(W$2,'TIS Site Config'!$A$4:$AQ$51,3,FALSE)&lt;&gt;"Soft",
                   VLOOKUP(W$2,'TIS Site Config'!$A$4:$AQ$51,6,FALSE)="Extreme Heated"),
   IF(OR(VLOOKUP(W$2,'TIS Site Config'!$A$3:$AQ$51,23,FALSE)="AB",
                VLOOKUP(W$2,'TIS Site Config'!$A$3:$AQ$51,23,FALSE)="BC",
                VLOOKUP(W$2,'TIS Site Config'!$A$3:$AQ$51,23,FALSE)="CD",
                VLOOKUP(W$2,'TIS Site Config'!$A$3:$AQ$51,23,FALSE)="DA"),
                         1,0),
0)</f>
        <v>0</v>
      </c>
      <c r="X107" s="141">
        <f>IF(AND(VLOOKUP(X$2,'TIS Site Config'!$A$4:$AQ$51,3,FALSE)&lt;&gt;"Soft",
                   VLOOKUP(X$2,'TIS Site Config'!$A$4:$AQ$51,6,FALSE)="Extreme Heated"),
   IF(OR(VLOOKUP(X$2,'TIS Site Config'!$A$3:$AQ$51,23,FALSE)="AB",
                VLOOKUP(X$2,'TIS Site Config'!$A$3:$AQ$51,23,FALSE)="BC",
                VLOOKUP(X$2,'TIS Site Config'!$A$3:$AQ$51,23,FALSE)="CD",
                VLOOKUP(X$2,'TIS Site Config'!$A$3:$AQ$51,23,FALSE)="DA"),
                         1,0),
0)</f>
        <v>0</v>
      </c>
      <c r="Y107" s="141">
        <f>IF(AND(VLOOKUP(Y$2,'TIS Site Config'!$A$4:$AQ$51,3,FALSE)&lt;&gt;"Soft",
                   VLOOKUP(Y$2,'TIS Site Config'!$A$4:$AQ$51,6,FALSE)="Extreme Heated"),
   IF(OR(VLOOKUP(Y$2,'TIS Site Config'!$A$3:$AQ$51,23,FALSE)="AB",
                VLOOKUP(Y$2,'TIS Site Config'!$A$3:$AQ$51,23,FALSE)="BC",
                VLOOKUP(Y$2,'TIS Site Config'!$A$3:$AQ$51,23,FALSE)="CD",
                VLOOKUP(Y$2,'TIS Site Config'!$A$3:$AQ$51,23,FALSE)="DA"),
                         1,0),
0)</f>
        <v>0</v>
      </c>
      <c r="Z107" s="141">
        <f>IF(AND(VLOOKUP(Z$2,'TIS Site Config'!$A$4:$AQ$51,3,FALSE)&lt;&gt;"Soft",
                   VLOOKUP(Z$2,'TIS Site Config'!$A$4:$AQ$51,6,FALSE)="Extreme Heated"),
   IF(OR(VLOOKUP(Z$2,'TIS Site Config'!$A$3:$AQ$51,23,FALSE)="AB",
                VLOOKUP(Z$2,'TIS Site Config'!$A$3:$AQ$51,23,FALSE)="BC",
                VLOOKUP(Z$2,'TIS Site Config'!$A$3:$AQ$51,23,FALSE)="CD",
                VLOOKUP(Z$2,'TIS Site Config'!$A$3:$AQ$51,23,FALSE)="DA"),
                         1,0),
0)</f>
        <v>0</v>
      </c>
      <c r="AA107" s="141">
        <f>IF(AND(VLOOKUP(AA$2,'TIS Site Config'!$A$4:$AQ$51,3,FALSE)&lt;&gt;"Soft",
                   VLOOKUP(AA$2,'TIS Site Config'!$A$4:$AQ$51,6,FALSE)="Extreme Heated"),
   IF(OR(VLOOKUP(AA$2,'TIS Site Config'!$A$3:$AQ$51,23,FALSE)="AB",
                VLOOKUP(AA$2,'TIS Site Config'!$A$3:$AQ$51,23,FALSE)="BC",
                VLOOKUP(AA$2,'TIS Site Config'!$A$3:$AQ$51,23,FALSE)="CD",
                VLOOKUP(AA$2,'TIS Site Config'!$A$3:$AQ$51,23,FALSE)="DA"),
                         1,0),
0)</f>
        <v>0</v>
      </c>
      <c r="AB107" s="141">
        <f>IF(AND(VLOOKUP(AB$2,'TIS Site Config'!$A$4:$AQ$51,3,FALSE)&lt;&gt;"Soft",
                   VLOOKUP(AB$2,'TIS Site Config'!$A$4:$AQ$51,6,FALSE)="Extreme Heated"),
   IF(OR(VLOOKUP(AB$2,'TIS Site Config'!$A$3:$AQ$51,23,FALSE)="AB",
                VLOOKUP(AB$2,'TIS Site Config'!$A$3:$AQ$51,23,FALSE)="BC",
                VLOOKUP(AB$2,'TIS Site Config'!$A$3:$AQ$51,23,FALSE)="CD",
                VLOOKUP(AB$2,'TIS Site Config'!$A$3:$AQ$51,23,FALSE)="DA"),
                         1,0),
0)</f>
        <v>0</v>
      </c>
      <c r="AC107" s="141">
        <f>IF(AND(VLOOKUP(AC$2,'TIS Site Config'!$A$4:$AQ$51,3,FALSE)&lt;&gt;"Soft",
                   VLOOKUP(AC$2,'TIS Site Config'!$A$4:$AQ$51,6,FALSE)="Extreme Heated"),
   IF(OR(VLOOKUP(AC$2,'TIS Site Config'!$A$3:$AQ$51,23,FALSE)="AB",
                VLOOKUP(AC$2,'TIS Site Config'!$A$3:$AQ$51,23,FALSE)="BC",
                VLOOKUP(AC$2,'TIS Site Config'!$A$3:$AQ$51,23,FALSE)="CD",
                VLOOKUP(AC$2,'TIS Site Config'!$A$3:$AQ$51,23,FALSE)="DA"),
                         1,0),
0)</f>
        <v>0</v>
      </c>
      <c r="AD107" s="141">
        <f>IF(AND(VLOOKUP(AD$2,'TIS Site Config'!$A$4:$AQ$51,3,FALSE)&lt;&gt;"Soft",
                   VLOOKUP(AD$2,'TIS Site Config'!$A$4:$AQ$51,6,FALSE)="Extreme Heated"),
   IF(OR(VLOOKUP(AD$2,'TIS Site Config'!$A$3:$AQ$51,23,FALSE)="AB",
                VLOOKUP(AD$2,'TIS Site Config'!$A$3:$AQ$51,23,FALSE)="BC",
                VLOOKUP(AD$2,'TIS Site Config'!$A$3:$AQ$51,23,FALSE)="CD",
                VLOOKUP(AD$2,'TIS Site Config'!$A$3:$AQ$51,23,FALSE)="DA"),
                         1,0),
0)</f>
        <v>0</v>
      </c>
      <c r="AE107" s="141">
        <f>IF(AND(VLOOKUP(AE$2,'TIS Site Config'!$A$4:$AQ$51,3,FALSE)&lt;&gt;"Soft",
                   VLOOKUP(AE$2,'TIS Site Config'!$A$4:$AQ$51,6,FALSE)="Extreme Heated"),
   IF(OR(VLOOKUP(AE$2,'TIS Site Config'!$A$3:$AQ$51,23,FALSE)="AB",
                VLOOKUP(AE$2,'TIS Site Config'!$A$3:$AQ$51,23,FALSE)="BC",
                VLOOKUP(AE$2,'TIS Site Config'!$A$3:$AQ$51,23,FALSE)="CD",
                VLOOKUP(AE$2,'TIS Site Config'!$A$3:$AQ$51,23,FALSE)="DA"),
                         1,0),
0)</f>
        <v>0</v>
      </c>
      <c r="AF107" s="141">
        <f>IF(AND(VLOOKUP(AF$2,'TIS Site Config'!$A$4:$AQ$51,3,FALSE)&lt;&gt;"Soft",
                   VLOOKUP(AF$2,'TIS Site Config'!$A$4:$AQ$51,6,FALSE)="Extreme Heated"),
   IF(OR(VLOOKUP(AF$2,'TIS Site Config'!$A$3:$AQ$51,23,FALSE)="AB",
                VLOOKUP(AF$2,'TIS Site Config'!$A$3:$AQ$51,23,FALSE)="BC",
                VLOOKUP(AF$2,'TIS Site Config'!$A$3:$AQ$51,23,FALSE)="CD",
                VLOOKUP(AF$2,'TIS Site Config'!$A$3:$AQ$51,23,FALSE)="DA"),
                         1,0),
0)</f>
        <v>0</v>
      </c>
      <c r="AG107" s="141">
        <f>IF(AND(VLOOKUP(AG$2,'TIS Site Config'!$A$4:$AQ$51,3,FALSE)&lt;&gt;"Soft",
                   VLOOKUP(AG$2,'TIS Site Config'!$A$4:$AQ$51,6,FALSE)="Extreme Heated"),
   IF(OR(VLOOKUP(AG$2,'TIS Site Config'!$A$3:$AQ$51,23,FALSE)="AB",
                VLOOKUP(AG$2,'TIS Site Config'!$A$3:$AQ$51,23,FALSE)="BC",
                VLOOKUP(AG$2,'TIS Site Config'!$A$3:$AQ$51,23,FALSE)="CD",
                VLOOKUP(AG$2,'TIS Site Config'!$A$3:$AQ$51,23,FALSE)="DA"),
                         1,0),
0)</f>
        <v>0</v>
      </c>
      <c r="AH107" s="141">
        <f>IF(AND(VLOOKUP(AH$2,'TIS Site Config'!$A$4:$AQ$51,3,FALSE)&lt;&gt;"Soft",
                   VLOOKUP(AH$2,'TIS Site Config'!$A$4:$AQ$51,6,FALSE)="Extreme Heated"),
   IF(OR(VLOOKUP(AH$2,'TIS Site Config'!$A$3:$AQ$51,23,FALSE)="AB",
                VLOOKUP(AH$2,'TIS Site Config'!$A$3:$AQ$51,23,FALSE)="BC",
                VLOOKUP(AH$2,'TIS Site Config'!$A$3:$AQ$51,23,FALSE)="CD",
                VLOOKUP(AH$2,'TIS Site Config'!$A$3:$AQ$51,23,FALSE)="DA"),
                         1,0),
0)</f>
        <v>0</v>
      </c>
      <c r="AI107" s="141">
        <f>IF(AND(VLOOKUP(AI$2,'TIS Site Config'!$A$4:$AQ$51,3,FALSE)&lt;&gt;"Soft",
                   VLOOKUP(AI$2,'TIS Site Config'!$A$4:$AQ$51,6,FALSE)="Extreme Heated"),
   IF(OR(VLOOKUP(AI$2,'TIS Site Config'!$A$3:$AQ$51,23,FALSE)="AB",
                VLOOKUP(AI$2,'TIS Site Config'!$A$3:$AQ$51,23,FALSE)="BC",
                VLOOKUP(AI$2,'TIS Site Config'!$A$3:$AQ$51,23,FALSE)="CD",
                VLOOKUP(AI$2,'TIS Site Config'!$A$3:$AQ$51,23,FALSE)="DA"),
                         1,0),
0)</f>
        <v>0</v>
      </c>
      <c r="AJ107" s="141">
        <f>IF(AND(VLOOKUP(AJ$2,'TIS Site Config'!$A$4:$AQ$51,3,FALSE)&lt;&gt;"Soft",
                   VLOOKUP(AJ$2,'TIS Site Config'!$A$4:$AQ$51,6,FALSE)="Extreme Heated"),
   IF(OR(VLOOKUP(AJ$2,'TIS Site Config'!$A$3:$AQ$51,23,FALSE)="AB",
                VLOOKUP(AJ$2,'TIS Site Config'!$A$3:$AQ$51,23,FALSE)="BC",
                VLOOKUP(AJ$2,'TIS Site Config'!$A$3:$AQ$51,23,FALSE)="CD",
                VLOOKUP(AJ$2,'TIS Site Config'!$A$3:$AQ$51,23,FALSE)="DA"),
                         1,0),
0)</f>
        <v>0</v>
      </c>
      <c r="AK107" s="141">
        <f>IF(AND(VLOOKUP(AK$2,'TIS Site Config'!$A$4:$AQ$51,3,FALSE)&lt;&gt;"Soft",
                   VLOOKUP(AK$2,'TIS Site Config'!$A$4:$AQ$51,6,FALSE)="Extreme Heated"),
   IF(OR(VLOOKUP(AK$2,'TIS Site Config'!$A$3:$AQ$51,23,FALSE)="AB",
                VLOOKUP(AK$2,'TIS Site Config'!$A$3:$AQ$51,23,FALSE)="BC",
                VLOOKUP(AK$2,'TIS Site Config'!$A$3:$AQ$51,23,FALSE)="CD",
                VLOOKUP(AK$2,'TIS Site Config'!$A$3:$AQ$51,23,FALSE)="DA"),
                         1,0),
0)</f>
        <v>0</v>
      </c>
      <c r="AL107" s="141">
        <f>IF(AND(VLOOKUP(AL$2,'TIS Site Config'!$A$4:$AQ$51,3,FALSE)&lt;&gt;"Soft",
                   VLOOKUP(AL$2,'TIS Site Config'!$A$4:$AQ$51,6,FALSE)="Extreme Heated"),
   IF(OR(VLOOKUP(AL$2,'TIS Site Config'!$A$3:$AQ$51,23,FALSE)="AB",
                VLOOKUP(AL$2,'TIS Site Config'!$A$3:$AQ$51,23,FALSE)="BC",
                VLOOKUP(AL$2,'TIS Site Config'!$A$3:$AQ$51,23,FALSE)="CD",
                VLOOKUP(AL$2,'TIS Site Config'!$A$3:$AQ$51,23,FALSE)="DA"),
                         1,0),
0)</f>
        <v>0</v>
      </c>
      <c r="AM107" s="141">
        <f>IF(AND(VLOOKUP(AM$2,'TIS Site Config'!$A$4:$AQ$51,3,FALSE)&lt;&gt;"Soft",
                   VLOOKUP(AM$2,'TIS Site Config'!$A$4:$AQ$51,6,FALSE)="Extreme Heated"),
   IF(OR(VLOOKUP(AM$2,'TIS Site Config'!$A$3:$AQ$51,23,FALSE)="AB",
                VLOOKUP(AM$2,'TIS Site Config'!$A$3:$AQ$51,23,FALSE)="BC",
                VLOOKUP(AM$2,'TIS Site Config'!$A$3:$AQ$51,23,FALSE)="CD",
                VLOOKUP(AM$2,'TIS Site Config'!$A$3:$AQ$51,23,FALSE)="DA"),
                         1,0),
0)</f>
        <v>0</v>
      </c>
      <c r="AN107" s="141">
        <f>IF(AND(VLOOKUP(AN$2,'TIS Site Config'!$A$4:$AQ$51,3,FALSE)&lt;&gt;"Soft",
                   VLOOKUP(AN$2,'TIS Site Config'!$A$4:$AQ$51,6,FALSE)="Extreme Heated"),
   IF(OR(VLOOKUP(AN$2,'TIS Site Config'!$A$3:$AQ$51,23,FALSE)="AB",
                VLOOKUP(AN$2,'TIS Site Config'!$A$3:$AQ$51,23,FALSE)="BC",
                VLOOKUP(AN$2,'TIS Site Config'!$A$3:$AQ$51,23,FALSE)="CD",
                VLOOKUP(AN$2,'TIS Site Config'!$A$3:$AQ$51,23,FALSE)="DA"),
                         1,0),
0)</f>
        <v>0</v>
      </c>
      <c r="AO107" s="141">
        <f>IF(AND(VLOOKUP(AO$2,'TIS Site Config'!$A$4:$AQ$51,3,FALSE)&lt;&gt;"Soft",
                   VLOOKUP(AO$2,'TIS Site Config'!$A$4:$AQ$51,6,FALSE)="Extreme Heated"),
   IF(OR(VLOOKUP(AO$2,'TIS Site Config'!$A$3:$AQ$51,23,FALSE)="AB",
                VLOOKUP(AO$2,'TIS Site Config'!$A$3:$AQ$51,23,FALSE)="BC",
                VLOOKUP(AO$2,'TIS Site Config'!$A$3:$AQ$51,23,FALSE)="CD",
                VLOOKUP(AO$2,'TIS Site Config'!$A$3:$AQ$51,23,FALSE)="DA"),
                         1,0),
0)</f>
        <v>0</v>
      </c>
      <c r="AP107" s="141">
        <f>IF(AND(VLOOKUP(AP$2,'TIS Site Config'!$A$4:$AQ$51,3,FALSE)&lt;&gt;"Soft",
                   VLOOKUP(AP$2,'TIS Site Config'!$A$4:$AQ$51,6,FALSE)="Extreme Heated"),
   IF(OR(VLOOKUP(AP$2,'TIS Site Config'!$A$3:$AQ$51,23,FALSE)="AB",
                VLOOKUP(AP$2,'TIS Site Config'!$A$3:$AQ$51,23,FALSE)="BC",
                VLOOKUP(AP$2,'TIS Site Config'!$A$3:$AQ$51,23,FALSE)="CD",
                VLOOKUP(AP$2,'TIS Site Config'!$A$3:$AQ$51,23,FALSE)="DA"),
                         1,0),
0)</f>
        <v>0</v>
      </c>
      <c r="AQ107" s="141">
        <f>IF(AND(VLOOKUP(AQ$2,'TIS Site Config'!$A$4:$AQ$51,3,FALSE)&lt;&gt;"Soft",
                   VLOOKUP(AQ$2,'TIS Site Config'!$A$4:$AQ$51,6,FALSE)="Extreme Heated"),
   IF(OR(VLOOKUP(AQ$2,'TIS Site Config'!$A$3:$AQ$51,23,FALSE)="AB",
                VLOOKUP(AQ$2,'TIS Site Config'!$A$3:$AQ$51,23,FALSE)="BC",
                VLOOKUP(AQ$2,'TIS Site Config'!$A$3:$AQ$51,23,FALSE)="CD",
                VLOOKUP(AQ$2,'TIS Site Config'!$A$3:$AQ$51,23,FALSE)="DA"),
                         1,0),
0)</f>
        <v>0</v>
      </c>
      <c r="AR107" s="141">
        <f>IF(AND(VLOOKUP(AR$2,'TIS Site Config'!$A$4:$AQ$51,3,FALSE)&lt;&gt;"Soft",
                   VLOOKUP(AR$2,'TIS Site Config'!$A$4:$AQ$51,6,FALSE)="Extreme Heated"),
   IF(OR(VLOOKUP(AR$2,'TIS Site Config'!$A$3:$AQ$51,23,FALSE)="AB",
                VLOOKUP(AR$2,'TIS Site Config'!$A$3:$AQ$51,23,FALSE)="BC",
                VLOOKUP(AR$2,'TIS Site Config'!$A$3:$AQ$51,23,FALSE)="CD",
                VLOOKUP(AR$2,'TIS Site Config'!$A$3:$AQ$51,23,FALSE)="DA"),
                         1,0),
0)</f>
        <v>0</v>
      </c>
      <c r="AS107" s="141">
        <f>IF(AND(VLOOKUP(AS$2,'TIS Site Config'!$A$4:$AQ$51,3,FALSE)&lt;&gt;"Soft",
                   VLOOKUP(AS$2,'TIS Site Config'!$A$4:$AQ$51,6,FALSE)="Extreme Heated"),
   IF(OR(VLOOKUP(AS$2,'TIS Site Config'!$A$3:$AQ$51,23,FALSE)="AB",
                VLOOKUP(AS$2,'TIS Site Config'!$A$3:$AQ$51,23,FALSE)="BC",
                VLOOKUP(AS$2,'TIS Site Config'!$A$3:$AQ$51,23,FALSE)="CD",
                VLOOKUP(AS$2,'TIS Site Config'!$A$3:$AQ$51,23,FALSE)="DA"),
                         1,0),
0)</f>
        <v>0</v>
      </c>
      <c r="AT107" s="141">
        <f>IF(AND(VLOOKUP(AT$2,'TIS Site Config'!$A$4:$AQ$51,3,FALSE)&lt;&gt;"Soft",
                   VLOOKUP(AT$2,'TIS Site Config'!$A$4:$AQ$51,6,FALSE)="Extreme Heated"),
   IF(OR(VLOOKUP(AT$2,'TIS Site Config'!$A$3:$AQ$51,23,FALSE)="AB",
                VLOOKUP(AT$2,'TIS Site Config'!$A$3:$AQ$51,23,FALSE)="BC",
                VLOOKUP(AT$2,'TIS Site Config'!$A$3:$AQ$51,23,FALSE)="CD",
                VLOOKUP(AT$2,'TIS Site Config'!$A$3:$AQ$51,23,FALSE)="DA"),
                         1,0),
0)</f>
        <v>0</v>
      </c>
      <c r="AU107" s="141">
        <f>IF(AND(VLOOKUP(AU$2,'TIS Site Config'!$A$4:$AQ$51,3,FALSE)&lt;&gt;"Soft",
                   VLOOKUP(AU$2,'TIS Site Config'!$A$4:$AQ$51,6,FALSE)="Extreme Heated"),
   IF(OR(VLOOKUP(AU$2,'TIS Site Config'!$A$3:$AQ$51,23,FALSE)="AB",
                VLOOKUP(AU$2,'TIS Site Config'!$A$3:$AQ$51,23,FALSE)="BC",
                VLOOKUP(AU$2,'TIS Site Config'!$A$3:$AQ$51,23,FALSE)="CD",
                VLOOKUP(AU$2,'TIS Site Config'!$A$3:$AQ$51,23,FALSE)="DA"),
                         1,0),
0)</f>
        <v>0</v>
      </c>
      <c r="AV107" s="141">
        <f>IF(AND(VLOOKUP(AV$2,'TIS Site Config'!$A$4:$AQ$51,3,FALSE)&lt;&gt;"Soft",
                   VLOOKUP(AV$2,'TIS Site Config'!$A$4:$AQ$51,6,FALSE)="Extreme Heated"),
   IF(OR(VLOOKUP(AV$2,'TIS Site Config'!$A$3:$AQ$51,23,FALSE)="AB",
                VLOOKUP(AV$2,'TIS Site Config'!$A$3:$AQ$51,23,FALSE)="BC",
                VLOOKUP(AV$2,'TIS Site Config'!$A$3:$AQ$51,23,FALSE)="CD",
                VLOOKUP(AV$2,'TIS Site Config'!$A$3:$AQ$51,23,FALSE)="DA"),
                         1,0),
0)</f>
        <v>0</v>
      </c>
      <c r="AW107" s="141">
        <f>IF(AND(VLOOKUP(AW$2,'TIS Site Config'!$A$4:$AQ$51,3,FALSE)&lt;&gt;"Soft",
                   VLOOKUP(AW$2,'TIS Site Config'!$A$4:$AQ$51,6,FALSE)="Extreme Heated"),
   IF(OR(VLOOKUP(AW$2,'TIS Site Config'!$A$3:$AQ$51,23,FALSE)="AB",
                VLOOKUP(AW$2,'TIS Site Config'!$A$3:$AQ$51,23,FALSE)="BC",
                VLOOKUP(AW$2,'TIS Site Config'!$A$3:$AQ$51,23,FALSE)="CD",
                VLOOKUP(AW$2,'TIS Site Config'!$A$3:$AQ$51,23,FALSE)="DA"),
                         1,0),
0)</f>
        <v>0</v>
      </c>
      <c r="AX107" s="141">
        <f>IF(AND(VLOOKUP(AX$2,'TIS Site Config'!$A$4:$AQ$51,3,FALSE)&lt;&gt;"Soft",
                   VLOOKUP(AX$2,'TIS Site Config'!$A$4:$AQ$51,6,FALSE)="Extreme Heated"),
   IF(OR(VLOOKUP(AX$2,'TIS Site Config'!$A$3:$AQ$51,23,FALSE)="AB",
                VLOOKUP(AX$2,'TIS Site Config'!$A$3:$AQ$51,23,FALSE)="BC",
                VLOOKUP(AX$2,'TIS Site Config'!$A$3:$AQ$51,23,FALSE)="CD",
                VLOOKUP(AX$2,'TIS Site Config'!$A$3:$AQ$51,23,FALSE)="DA"),
                         1,0),
0)</f>
        <v>0</v>
      </c>
      <c r="AY107" s="141">
        <f>IF(AND(VLOOKUP(AY$2,'TIS Site Config'!$A$4:$AQ$51,3,FALSE)&lt;&gt;"Soft",
                   VLOOKUP(AY$2,'TIS Site Config'!$A$4:$AQ$51,6,FALSE)="Extreme Heated"),
   IF(OR(VLOOKUP(AY$2,'TIS Site Config'!$A$3:$AQ$51,23,FALSE)="AB",
                VLOOKUP(AY$2,'TIS Site Config'!$A$3:$AQ$51,23,FALSE)="BC",
                VLOOKUP(AY$2,'TIS Site Config'!$A$3:$AQ$51,23,FALSE)="CD",
                VLOOKUP(AY$2,'TIS Site Config'!$A$3:$AQ$51,23,FALSE)="DA"),
                         1,0),
0)</f>
        <v>0</v>
      </c>
      <c r="AZ107" s="141">
        <f>IF(AND(VLOOKUP(AZ$2,'TIS Site Config'!$A$4:$AQ$51,3,FALSE)&lt;&gt;"Soft",
                   VLOOKUP(AZ$2,'TIS Site Config'!$A$4:$AQ$51,6,FALSE)="Extreme Heated"),
   IF(OR(VLOOKUP(AZ$2,'TIS Site Config'!$A$3:$AQ$51,23,FALSE)="AB",
                VLOOKUP(AZ$2,'TIS Site Config'!$A$3:$AQ$51,23,FALSE)="BC",
                VLOOKUP(AZ$2,'TIS Site Config'!$A$3:$AQ$51,23,FALSE)="CD",
                VLOOKUP(AZ$2,'TIS Site Config'!$A$3:$AQ$51,23,FALSE)="DA"),
                         1,0),
0)</f>
        <v>0</v>
      </c>
      <c r="BA107" s="141">
        <f>IF(AND(VLOOKUP(BA$2,'TIS Site Config'!$A$4:$AQ$51,3,FALSE)&lt;&gt;"Soft",
                   VLOOKUP(BA$2,'TIS Site Config'!$A$4:$AQ$51,6,FALSE)="Extreme Heated"),
   IF(OR(VLOOKUP(BA$2,'TIS Site Config'!$A$3:$AQ$51,23,FALSE)="AB",
                VLOOKUP(BA$2,'TIS Site Config'!$A$3:$AQ$51,23,FALSE)="BC",
                VLOOKUP(BA$2,'TIS Site Config'!$A$3:$AQ$51,23,FALSE)="CD",
                VLOOKUP(BA$2,'TIS Site Config'!$A$3:$AQ$51,23,FALSE)="DA"),
                         1,0),
0)</f>
        <v>0</v>
      </c>
      <c r="BB107" s="141">
        <f>IF(AND(VLOOKUP(BB$2,'TIS Site Config'!$A$4:$AQ$51,3,FALSE)&lt;&gt;"Soft",
                   VLOOKUP(BB$2,'TIS Site Config'!$A$4:$AQ$51,6,FALSE)="Extreme Heated"),
   IF(OR(VLOOKUP(BB$2,'TIS Site Config'!$A$3:$AQ$51,23,FALSE)="AB",
                VLOOKUP(BB$2,'TIS Site Config'!$A$3:$AQ$51,23,FALSE)="BC",
                VLOOKUP(BB$2,'TIS Site Config'!$A$3:$AQ$51,23,FALSE)="CD",
                VLOOKUP(BB$2,'TIS Site Config'!$A$3:$AQ$51,23,FALSE)="DA"),
                         1,0),
0)</f>
        <v>0</v>
      </c>
      <c r="BC107" s="141">
        <f>IF(AND(VLOOKUP(BC$2,'TIS Site Config'!$A$4:$AQ$51,3,FALSE)&lt;&gt;"Soft",
                   VLOOKUP(BC$2,'TIS Site Config'!$A$4:$AQ$51,6,FALSE)="Extreme Heated"),
   IF(OR(VLOOKUP(BC$2,'TIS Site Config'!$A$3:$AQ$51,23,FALSE)="AB",
                VLOOKUP(BC$2,'TIS Site Config'!$A$3:$AQ$51,23,FALSE)="BC",
                VLOOKUP(BC$2,'TIS Site Config'!$A$3:$AQ$51,23,FALSE)="CD",
                VLOOKUP(BC$2,'TIS Site Config'!$A$3:$AQ$51,23,FALSE)="DA"),
                         1,0),
0)</f>
        <v>1</v>
      </c>
      <c r="BD107" s="141">
        <f>IF(AND(VLOOKUP(BD$2,'TIS Site Config'!$A$4:$AQ$51,3,FALSE)&lt;&gt;"Soft",
                   VLOOKUP(BD$2,'TIS Site Config'!$A$4:$AQ$51,6,FALSE)="Extreme Heated"),
   IF(OR(VLOOKUP(BD$2,'TIS Site Config'!$A$3:$AQ$51,23,FALSE)="AB",
                VLOOKUP(BD$2,'TIS Site Config'!$A$3:$AQ$51,23,FALSE)="BC",
                VLOOKUP(BD$2,'TIS Site Config'!$A$3:$AQ$51,23,FALSE)="CD",
                VLOOKUP(BD$2,'TIS Site Config'!$A$3:$AQ$51,23,FALSE)="DA"),
                         1,0),
0)</f>
        <v>1</v>
      </c>
      <c r="BE107" s="141">
        <f>IF(AND(VLOOKUP(BE$2,'TIS Site Config'!$A$4:$AQ$51,3,FALSE)&lt;&gt;"Soft",
                   VLOOKUP(BE$2,'TIS Site Config'!$A$4:$AQ$51,6,FALSE)="Extreme Heated"),
   IF(OR(VLOOKUP(BE$2,'TIS Site Config'!$A$3:$AQ$51,23,FALSE)="AB",
                VLOOKUP(BE$2,'TIS Site Config'!$A$3:$AQ$51,23,FALSE)="BC",
                VLOOKUP(BE$2,'TIS Site Config'!$A$3:$AQ$51,23,FALSE)="CD",
                VLOOKUP(BE$2,'TIS Site Config'!$A$3:$AQ$51,23,FALSE)="DA"),
                         1,0),
0)</f>
        <v>1</v>
      </c>
      <c r="BF107" s="141">
        <f>IF(AND(VLOOKUP(BF$2,'TIS Site Config'!$A$4:$AQ$51,3,FALSE)&lt;&gt;"Soft",
                   VLOOKUP(BF$2,'TIS Site Config'!$A$4:$AQ$51,6,FALSE)="Extreme Heated"),
   IF(OR(VLOOKUP(BF$2,'TIS Site Config'!$A$3:$AQ$51,23,FALSE)="AB",
                VLOOKUP(BF$2,'TIS Site Config'!$A$3:$AQ$51,23,FALSE)="BC",
                VLOOKUP(BF$2,'TIS Site Config'!$A$3:$AQ$51,23,FALSE)="CD",
                VLOOKUP(BF$2,'TIS Site Config'!$A$3:$AQ$51,23,FALSE)="DA"),
                         1,0),
0)</f>
        <v>1</v>
      </c>
      <c r="BG107" s="141">
        <f>IF(AND(VLOOKUP(BG$2,'TIS Site Config'!$A$4:$AQ$51,3,FALSE)&lt;&gt;"Soft",
                   VLOOKUP(BG$2,'TIS Site Config'!$A$4:$AQ$51,6,FALSE)="Extreme Heated"),
   IF(OR(VLOOKUP(BG$2,'TIS Site Config'!$A$3:$AQ$51,23,FALSE)="AB",
                VLOOKUP(BG$2,'TIS Site Config'!$A$3:$AQ$51,23,FALSE)="BC",
                VLOOKUP(BG$2,'TIS Site Config'!$A$3:$AQ$51,23,FALSE)="CD",
                VLOOKUP(BG$2,'TIS Site Config'!$A$3:$AQ$51,23,FALSE)="DA"),
                         1,0),
0)</f>
        <v>0</v>
      </c>
      <c r="BH107" s="141">
        <f>IF(AND(VLOOKUP(BH$2,'TIS Site Config'!$A$4:$AQ$51,3,FALSE)&lt;&gt;"Soft",
                   VLOOKUP(BH$2,'TIS Site Config'!$A$4:$AQ$51,6,FALSE)="Extreme Heated"),
   IF(OR(VLOOKUP(BH$2,'TIS Site Config'!$A$3:$AQ$51,23,FALSE)="AB",
                VLOOKUP(BH$2,'TIS Site Config'!$A$3:$AQ$51,23,FALSE)="BC",
                VLOOKUP(BH$2,'TIS Site Config'!$A$3:$AQ$51,23,FALSE)="CD",
                VLOOKUP(BH$2,'TIS Site Config'!$A$3:$AQ$51,23,FALSE)="DA"),
                         1,0),
0)</f>
        <v>0</v>
      </c>
    </row>
    <row r="108" spans="1:67" s="950" customFormat="1" ht="15.75" thickBot="1" x14ac:dyDescent="0.3">
      <c r="A108" s="1366"/>
      <c r="B108" s="1375"/>
      <c r="C108" s="77" t="s">
        <v>1064</v>
      </c>
      <c r="D108" s="96">
        <v>4</v>
      </c>
      <c r="E108" s="113" t="s">
        <v>1065</v>
      </c>
      <c r="F108" s="247">
        <f t="shared" si="5"/>
        <v>1615</v>
      </c>
      <c r="G108" s="1013"/>
      <c r="H108" s="465"/>
      <c r="I108" s="465"/>
      <c r="J108" s="465"/>
      <c r="K108" s="248"/>
      <c r="L108" s="245"/>
      <c r="M108" s="140">
        <f>IF(AND(VLOOKUP(M$2,'TIS Site Config'!$A$4:$AQ$51,3,FALSE)&lt;&gt;"Soft",
                   VLOOKUP(M$2,'TIS Site Config'!$A$3:$AQ$51,12,FALSE)&lt;&gt;"ERROR"),
         VLOOKUP(M$2,'TIS Site Config'!$A$3:$AQ$51,12,FALSE)*5,0)</f>
        <v>55</v>
      </c>
      <c r="N108" s="245">
        <f>IF(AND(VLOOKUP(N$2,'TIS Site Config'!$A$4:$AQ$51,3,FALSE)&lt;&gt;"Soft",
                   VLOOKUP(N$2,'TIS Site Config'!$A$3:$AQ$51,12,FALSE)&lt;&gt;"ERROR"),
         VLOOKUP(N$2,'TIS Site Config'!$A$3:$AQ$51,12,FALSE)*5,0)</f>
        <v>50</v>
      </c>
      <c r="O108" s="249">
        <f>IF(AND(VLOOKUP(O$2,'TIS Site Config'!$A$4:$AQ$51,3,FALSE)&lt;&gt;"Soft",
                   VLOOKUP(O$2,'TIS Site Config'!$A$3:$AQ$51,12,FALSE)&lt;&gt;"ERROR"),
         VLOOKUP(O$2,'TIS Site Config'!$A$3:$AQ$51,12,FALSE)*5,0)</f>
        <v>75</v>
      </c>
      <c r="P108" s="300">
        <f>IF(AND(VLOOKUP(P$2,'TIS Site Config'!$A$4:$AQ$51,3,FALSE)&lt;&gt;"Soft",
                   VLOOKUP(P$2,'TIS Site Config'!$A$3:$AQ$51,12,FALSE)&lt;&gt;"ERROR"),
         VLOOKUP(P$2,'TIS Site Config'!$A$3:$AQ$51,12,FALSE)*5,0)</f>
        <v>90</v>
      </c>
      <c r="Q108" s="245">
        <f>IF(AND(VLOOKUP(Q$2,'TIS Site Config'!$A$4:$AQ$51,3,FALSE)&lt;&gt;"Soft",
                   VLOOKUP(Q$2,'TIS Site Config'!$A$3:$AQ$51,12,FALSE)&lt;&gt;"ERROR"),
         VLOOKUP(Q$2,'TIS Site Config'!$A$3:$AQ$51,12,FALSE)*5,0)</f>
        <v>10</v>
      </c>
      <c r="R108" s="140">
        <f>IF(AND(VLOOKUP(R$2,'TIS Site Config'!$A$4:$AQ$51,3,FALSE)&lt;&gt;"Soft",
                   VLOOKUP(R$2,'TIS Site Config'!$A$3:$AQ$51,12,FALSE)&lt;&gt;"ERROR"),
         VLOOKUP(R$2,'TIS Site Config'!$A$3:$AQ$51,12,FALSE)*5,0)</f>
        <v>50</v>
      </c>
      <c r="S108" s="300">
        <f>IF(AND(VLOOKUP(S$2,'TIS Site Config'!$A$4:$AQ$51,3,FALSE)&lt;&gt;"Soft",
                   VLOOKUP(S$2,'TIS Site Config'!$A$3:$AQ$51,12,FALSE)&lt;&gt;"ERROR"),
         VLOOKUP(S$2,'TIS Site Config'!$A$3:$AQ$51,12,FALSE)*5,0)</f>
        <v>10</v>
      </c>
      <c r="T108" s="245">
        <f>IF(AND(VLOOKUP(T$2,'TIS Site Config'!$A$4:$AQ$51,3,FALSE)&lt;&gt;"Soft",
                   VLOOKUP(T$2,'TIS Site Config'!$A$3:$AQ$51,12,FALSE)&lt;&gt;"ERROR"),
         VLOOKUP(T$2,'TIS Site Config'!$A$3:$AQ$51,12,FALSE)*5,0)</f>
        <v>60</v>
      </c>
      <c r="U108" s="140">
        <f>IF(AND(VLOOKUP(U$2,'TIS Site Config'!$A$4:$AQ$51,3,FALSE)&lt;&gt;"Soft",
                   VLOOKUP(U$2,'TIS Site Config'!$A$3:$AQ$51,12,FALSE)&lt;&gt;"ERROR"),
         VLOOKUP(U$2,'TIS Site Config'!$A$3:$AQ$51,12,FALSE)*5,0)</f>
        <v>30</v>
      </c>
      <c r="V108" s="245">
        <f>IF(AND(VLOOKUP(V$2,'TIS Site Config'!$A$4:$AQ$51,3,FALSE)&lt;&gt;"Soft",
                   VLOOKUP(V$2,'TIS Site Config'!$A$3:$AQ$51,12,FALSE)&lt;&gt;"ERROR"),
         VLOOKUP(V$2,'TIS Site Config'!$A$3:$AQ$51,12,FALSE)*5,0)</f>
        <v>10</v>
      </c>
      <c r="W108" s="248">
        <f>IF(AND(VLOOKUP(W$2,'TIS Site Config'!$A$4:$AQ$51,3,FALSE)&lt;&gt;"Soft",
                   VLOOKUP(W$2,'TIS Site Config'!$A$3:$AQ$51,12,FALSE)&lt;&gt;"ERROR"),
         VLOOKUP(W$2,'TIS Site Config'!$A$3:$AQ$51,12,FALSE)*5,0)</f>
        <v>55</v>
      </c>
      <c r="X108" s="300">
        <f>IF(AND(VLOOKUP(X$2,'TIS Site Config'!$A$4:$AQ$51,3,FALSE)&lt;&gt;"Soft",
                   VLOOKUP(X$2,'TIS Site Config'!$A$3:$AQ$51,12,FALSE)&lt;&gt;"ERROR"),
         VLOOKUP(X$2,'TIS Site Config'!$A$3:$AQ$51,12,FALSE)*5,0)</f>
        <v>30</v>
      </c>
      <c r="Y108" s="245">
        <f>IF(AND(VLOOKUP(Y$2,'TIS Site Config'!$A$4:$AQ$51,3,FALSE)&lt;&gt;"Soft",
                   VLOOKUP(Y$2,'TIS Site Config'!$A$3:$AQ$51,12,FALSE)&lt;&gt;"ERROR"),
         VLOOKUP(Y$2,'TIS Site Config'!$A$3:$AQ$51,12,FALSE)*5,0)</f>
        <v>50</v>
      </c>
      <c r="Z108" s="140">
        <f>IF(AND(VLOOKUP(Z$2,'TIS Site Config'!$A$4:$AQ$51,3,FALSE)&lt;&gt;"Soft",
                   VLOOKUP(Z$2,'TIS Site Config'!$A$3:$AQ$51,12,FALSE)&lt;&gt;"ERROR"),
         VLOOKUP(Z$2,'TIS Site Config'!$A$3:$AQ$51,12,FALSE)*5,0)</f>
        <v>10</v>
      </c>
      <c r="AA108" s="300">
        <f>IF(AND(VLOOKUP(AA$2,'TIS Site Config'!$A$4:$AQ$51,3,FALSE)&lt;&gt;"Soft",
                   VLOOKUP(AA$2,'TIS Site Config'!$A$3:$AQ$51,12,FALSE)&lt;&gt;"ERROR"),
         VLOOKUP(AA$2,'TIS Site Config'!$A$3:$AQ$51,12,FALSE)*5,0)</f>
        <v>50</v>
      </c>
      <c r="AB108" s="245">
        <f>IF(AND(VLOOKUP(AB$2,'TIS Site Config'!$A$4:$AQ$51,3,FALSE)&lt;&gt;"Soft",
                   VLOOKUP(AB$2,'TIS Site Config'!$A$3:$AQ$51,12,FALSE)&lt;&gt;"ERROR"),
         VLOOKUP(AB$2,'TIS Site Config'!$A$3:$AQ$51,12,FALSE)*5,0)</f>
        <v>10</v>
      </c>
      <c r="AC108" s="300">
        <f>IF(AND(VLOOKUP(AC$2,'TIS Site Config'!$A$4:$AQ$51,3,FALSE)&lt;&gt;"Soft",
                   VLOOKUP(AC$2,'TIS Site Config'!$A$3:$AQ$51,12,FALSE)&lt;&gt;"ERROR"),
         VLOOKUP(AC$2,'TIS Site Config'!$A$3:$AQ$51,12,FALSE)*5,0)</f>
        <v>55</v>
      </c>
      <c r="AD108" s="246">
        <f>IF(AND(VLOOKUP(AD$2,'TIS Site Config'!$A$4:$AQ$51,3,FALSE)&lt;&gt;"Soft",
                   VLOOKUP(AD$2,'TIS Site Config'!$A$3:$AQ$51,12,FALSE)&lt;&gt;"ERROR"),
         VLOOKUP(AD$2,'TIS Site Config'!$A$3:$AQ$51,12,FALSE)*5,0)</f>
        <v>40</v>
      </c>
      <c r="AE108" s="246">
        <f>IF(AND(VLOOKUP(AE$2,'TIS Site Config'!$A$4:$AQ$51,3,FALSE)&lt;&gt;"Soft",
                   VLOOKUP(AE$2,'TIS Site Config'!$A$3:$AQ$51,12,FALSE)&lt;&gt;"ERROR"),
         VLOOKUP(AE$2,'TIS Site Config'!$A$3:$AQ$51,12,FALSE)*5,0)</f>
        <v>65</v>
      </c>
      <c r="AF108" s="38">
        <f>IF(AND(VLOOKUP(AF$2,'TIS Site Config'!$A$4:$AQ$51,3,FALSE)&lt;&gt;"Soft",
                   VLOOKUP(AF$2,'TIS Site Config'!$A$3:$AQ$51,12,FALSE)&lt;&gt;"ERROR"),
         VLOOKUP(AF$2,'TIS Site Config'!$A$3:$AQ$51,12,FALSE)*5,0)</f>
        <v>50</v>
      </c>
      <c r="AG108" s="300">
        <f>IF(AND(VLOOKUP(AG$2,'TIS Site Config'!$A$4:$AQ$51,3,FALSE)&lt;&gt;"Soft",
                   VLOOKUP(AG$2,'TIS Site Config'!$A$3:$AQ$51,12,FALSE)&lt;&gt;"ERROR"),
         VLOOKUP(AG$2,'TIS Site Config'!$A$3:$AQ$51,12,FALSE)*5,0)</f>
        <v>60</v>
      </c>
      <c r="AH108" s="245">
        <f>IF(AND(VLOOKUP(AH$2,'TIS Site Config'!$A$4:$AQ$51,3,FALSE)&lt;&gt;"Soft",
                   VLOOKUP(AH$2,'TIS Site Config'!$A$3:$AQ$51,12,FALSE)&lt;&gt;"ERROR"),
         VLOOKUP(AH$2,'TIS Site Config'!$A$3:$AQ$51,12,FALSE)*5,0)</f>
        <v>65</v>
      </c>
      <c r="AI108" s="140">
        <f>IF(AND(VLOOKUP(AI$2,'TIS Site Config'!$A$4:$AQ$51,3,FALSE)&lt;&gt;"Soft",
                   VLOOKUP(AI$2,'TIS Site Config'!$A$3:$AQ$51,12,FALSE)&lt;&gt;"ERROR"),
         VLOOKUP(AI$2,'TIS Site Config'!$A$3:$AQ$51,12,FALSE)*5,0)</f>
        <v>10</v>
      </c>
      <c r="AJ108" s="300">
        <f>IF(AND(VLOOKUP(AJ$2,'TIS Site Config'!$A$4:$AQ$51,3,FALSE)&lt;&gt;"Soft",
                   VLOOKUP(AJ$2,'TIS Site Config'!$A$3:$AQ$51,12,FALSE)&lt;&gt;"ERROR"),
         VLOOKUP(AJ$2,'TIS Site Config'!$A$3:$AQ$51,12,FALSE)*5,0)</f>
        <v>10</v>
      </c>
      <c r="AK108" s="245">
        <f>IF(AND(VLOOKUP(AK$2,'TIS Site Config'!$A$4:$AQ$51,3,FALSE)&lt;&gt;"Soft",
                   VLOOKUP(AK$2,'TIS Site Config'!$A$3:$AQ$51,12,FALSE)&lt;&gt;"ERROR"),
         VLOOKUP(AK$2,'TIS Site Config'!$A$3:$AQ$51,12,FALSE)*5,0)</f>
        <v>10</v>
      </c>
      <c r="AL108" s="140">
        <f>IF(AND(VLOOKUP(AL$2,'TIS Site Config'!$A$4:$AQ$51,3,FALSE)&lt;&gt;"Soft",
                   VLOOKUP(AL$2,'TIS Site Config'!$A$3:$AQ$51,12,FALSE)&lt;&gt;"ERROR"),
         VLOOKUP(AL$2,'TIS Site Config'!$A$3:$AQ$51,12,FALSE)*5,0)</f>
        <v>10</v>
      </c>
      <c r="AM108" s="300">
        <f>IF(AND(VLOOKUP(AM$2,'TIS Site Config'!$A$4:$AQ$51,3,FALSE)&lt;&gt;"Soft",
                   VLOOKUP(AM$2,'TIS Site Config'!$A$3:$AQ$51,12,FALSE)&lt;&gt;"ERROR"),
         VLOOKUP(AM$2,'TIS Site Config'!$A$3:$AQ$51,12,FALSE)*5,0)</f>
        <v>10</v>
      </c>
      <c r="AN108" s="245">
        <f>IF(AND(VLOOKUP(AN$2,'TIS Site Config'!$A$4:$AQ$51,3,FALSE)&lt;&gt;"Soft",
                   VLOOKUP(AN$2,'TIS Site Config'!$A$3:$AQ$51,12,FALSE)&lt;&gt;"ERROR"),
         VLOOKUP(AN$2,'TIS Site Config'!$A$3:$AQ$51,12,FALSE)*5,0)</f>
        <v>35</v>
      </c>
      <c r="AO108" s="140">
        <f>IF(AND(VLOOKUP(AO$2,'TIS Site Config'!$A$4:$AQ$51,3,FALSE)&lt;&gt;"Soft",
                   VLOOKUP(AO$2,'TIS Site Config'!$A$3:$AQ$51,12,FALSE)&lt;&gt;"ERROR"),
         VLOOKUP(AO$2,'TIS Site Config'!$A$3:$AQ$51,12,FALSE)*5,0)</f>
        <v>30</v>
      </c>
      <c r="AP108" s="300">
        <f>IF(AND(VLOOKUP(AP$2,'TIS Site Config'!$A$4:$AQ$51,3,FALSE)&lt;&gt;"Soft",
                   VLOOKUP(AP$2,'TIS Site Config'!$A$3:$AQ$51,12,FALSE)&lt;&gt;"ERROR"),
         VLOOKUP(AP$2,'TIS Site Config'!$A$3:$AQ$51,12,FALSE)*5,0)</f>
        <v>10</v>
      </c>
      <c r="AQ108" s="140">
        <f>IF(AND(VLOOKUP(AQ$2,'TIS Site Config'!$A$4:$AQ$51,3,FALSE)&lt;&gt;"Soft",
                   VLOOKUP(AQ$2,'TIS Site Config'!$A$3:$AQ$51,12,FALSE)&lt;&gt;"ERROR"),
         VLOOKUP(AQ$2,'TIS Site Config'!$A$3:$AQ$51,12,FALSE)*5,0)</f>
        <v>30</v>
      </c>
      <c r="AR108" s="140">
        <f>IF(AND(VLOOKUP(AR$2,'TIS Site Config'!$A$4:$AQ$51,3,FALSE)&lt;&gt;"Soft",
                   VLOOKUP(AR$2,'TIS Site Config'!$A$3:$AQ$51,12,FALSE)&lt;&gt;"ERROR"),
         VLOOKUP(AR$2,'TIS Site Config'!$A$3:$AQ$51,12,FALSE)*5,0)</f>
        <v>10</v>
      </c>
      <c r="AS108" s="300">
        <f>IF(AND(VLOOKUP(AS$2,'TIS Site Config'!$A$4:$AQ$51,3,FALSE)&lt;&gt;"Soft",
                   VLOOKUP(AS$2,'TIS Site Config'!$A$3:$AQ$51,12,FALSE)&lt;&gt;"ERROR"),
         VLOOKUP(AS$2,'TIS Site Config'!$A$3:$AQ$51,12,FALSE)*5,0)</f>
        <v>10</v>
      </c>
      <c r="AT108" s="140">
        <f>IF(AND(VLOOKUP(AT$2,'TIS Site Config'!$A$4:$AQ$51,3,FALSE)&lt;&gt;"Soft",
                   VLOOKUP(AT$2,'TIS Site Config'!$A$3:$AQ$51,12,FALSE)&lt;&gt;"ERROR"),
         VLOOKUP(AT$2,'TIS Site Config'!$A$3:$AQ$51,12,FALSE)*5,0)</f>
        <v>10</v>
      </c>
      <c r="AU108" s="300">
        <f>IF(AND(VLOOKUP(AU$2,'TIS Site Config'!$A$4:$AQ$51,3,FALSE)&lt;&gt;"Soft",
                   VLOOKUP(AU$2,'TIS Site Config'!$A$3:$AQ$51,12,FALSE)&lt;&gt;"ERROR"),
         VLOOKUP(AU$2,'TIS Site Config'!$A$3:$AQ$51,12,FALSE)*5,0)</f>
        <v>10</v>
      </c>
      <c r="AV108" s="140">
        <f>IF(AND(VLOOKUP(AV$2,'TIS Site Config'!$A$4:$AQ$51,3,FALSE)&lt;&gt;"Soft",
                   VLOOKUP(AV$2,'TIS Site Config'!$A$3:$AQ$51,12,FALSE)&lt;&gt;"ERROR"),
         VLOOKUP(AV$2,'TIS Site Config'!$A$3:$AQ$51,12,FALSE)*5,0)</f>
        <v>10</v>
      </c>
      <c r="AW108" s="140">
        <f>IF(AND(VLOOKUP(AW$2,'TIS Site Config'!$A$4:$AQ$51,3,FALSE)&lt;&gt;"Soft",
                   VLOOKUP(AW$2,'TIS Site Config'!$A$3:$AQ$51,12,FALSE)&lt;&gt;"ERROR"),
         VLOOKUP(AW$2,'TIS Site Config'!$A$3:$AQ$51,12,FALSE)*5,0)</f>
        <v>60</v>
      </c>
      <c r="AX108" s="245">
        <f>IF(AND(VLOOKUP(AX$2,'TIS Site Config'!$A$4:$AQ$51,3,FALSE)&lt;&gt;"Soft",
                   VLOOKUP(AX$2,'TIS Site Config'!$A$3:$AQ$51,12,FALSE)&lt;&gt;"ERROR"),
         VLOOKUP(AX$2,'TIS Site Config'!$A$3:$AQ$51,12,FALSE)*5,0)</f>
        <v>25</v>
      </c>
      <c r="AY108" s="140">
        <f>IF(AND(VLOOKUP(AY$2,'TIS Site Config'!$A$4:$AQ$51,3,FALSE)&lt;&gt;"Soft",
                   VLOOKUP(AY$2,'TIS Site Config'!$A$3:$AQ$51,12,FALSE)&lt;&gt;"ERROR"),
         VLOOKUP(AY$2,'TIS Site Config'!$A$3:$AQ$51,12,FALSE)*5,0)</f>
        <v>55</v>
      </c>
      <c r="AZ108" s="300">
        <f>IF(AND(VLOOKUP(AZ$2,'TIS Site Config'!$A$4:$AQ$51,3,FALSE)&lt;&gt;"Soft",
                   VLOOKUP(AZ$2,'TIS Site Config'!$A$3:$AQ$51,12,FALSE)&lt;&gt;"ERROR"),
         VLOOKUP(AZ$2,'TIS Site Config'!$A$3:$AQ$51,12,FALSE)*5,0)</f>
        <v>75</v>
      </c>
      <c r="BA108" s="246">
        <f>IF(AND(VLOOKUP(BA$2,'TIS Site Config'!$A$4:$AQ$51,3,FALSE)&lt;&gt;"Soft",
                   VLOOKUP(BA$2,'TIS Site Config'!$A$3:$AQ$51,12,FALSE)&lt;&gt;"ERROR"),
         VLOOKUP(BA$2,'TIS Site Config'!$A$3:$AQ$51,12,FALSE)*5,0)</f>
        <v>85</v>
      </c>
      <c r="BB108" s="140">
        <f>IF(AND(VLOOKUP(BB$2,'TIS Site Config'!$A$4:$AQ$51,3,FALSE)&lt;&gt;"Soft",
                   VLOOKUP(BB$2,'TIS Site Config'!$A$3:$AQ$51,12,FALSE)&lt;&gt;"ERROR"),
         VLOOKUP(BB$2,'TIS Site Config'!$A$3:$AQ$51,12,FALSE)*5,0)</f>
        <v>10</v>
      </c>
      <c r="BC108" s="245">
        <f>IF(AND(VLOOKUP(BC$2,'TIS Site Config'!$A$4:$AQ$51,3,FALSE)&lt;&gt;"Soft",
                   VLOOKUP(BC$2,'TIS Site Config'!$A$3:$AQ$51,12,FALSE)&lt;&gt;"ERROR"),
         VLOOKUP(BC$2,'TIS Site Config'!$A$3:$AQ$51,12,FALSE)*5,0)</f>
        <v>10</v>
      </c>
      <c r="BD108" s="140">
        <f>IF(AND(VLOOKUP(BD$2,'TIS Site Config'!$A$4:$AQ$51,3,FALSE)&lt;&gt;"Soft",
                   VLOOKUP(BD$2,'TIS Site Config'!$A$3:$AQ$51,12,FALSE)&lt;&gt;"ERROR"),
         VLOOKUP(BD$2,'TIS Site Config'!$A$3:$AQ$51,12,FALSE)*5,0)</f>
        <v>25</v>
      </c>
      <c r="BE108" s="300">
        <f>IF(AND(VLOOKUP(BE$2,'TIS Site Config'!$A$4:$AQ$51,3,FALSE)&lt;&gt;"Soft",
                   VLOOKUP(BE$2,'TIS Site Config'!$A$3:$AQ$51,12,FALSE)&lt;&gt;"ERROR"),
         VLOOKUP(BE$2,'TIS Site Config'!$A$3:$AQ$51,12,FALSE)*5,0)</f>
        <v>30</v>
      </c>
      <c r="BF108" s="245">
        <f>IF(AND(VLOOKUP(BF$2,'TIS Site Config'!$A$4:$AQ$51,3,FALSE)&lt;&gt;"Soft",
                   VLOOKUP(BF$2,'TIS Site Config'!$A$3:$AQ$51,12,FALSE)&lt;&gt;"ERROR"),
         VLOOKUP(BF$2,'TIS Site Config'!$A$3:$AQ$51,12,FALSE)*5,0)</f>
        <v>10</v>
      </c>
      <c r="BG108" s="247">
        <f>IF(AND(VLOOKUP(BG$2,'TIS Site Config'!$A$4:$AQ$51,3,FALSE)&lt;&gt;"Soft",
                   VLOOKUP(BG$2,'TIS Site Config'!$A$3:$AQ$51,12,FALSE)&lt;&gt;"ERROR"),
         VLOOKUP(BG$2,'TIS Site Config'!$A$3:$AQ$51,12,FALSE)*5,0)</f>
        <v>45</v>
      </c>
      <c r="BH108" s="247">
        <f>IF(AND(VLOOKUP(BH$2,'TIS Site Config'!$A$4:$AQ$51,3,FALSE)&lt;&gt;"Soft",
                   VLOOKUP(BH$2,'TIS Site Config'!$A$3:$AQ$51,12,FALSE)&lt;&gt;"ERROR"),
         VLOOKUP(BH$2,'TIS Site Config'!$A$3:$AQ$51,12,FALSE)*5,0)</f>
        <v>10</v>
      </c>
    </row>
    <row r="109" spans="1:67" s="10" customFormat="1" ht="15.75" thickTop="1" x14ac:dyDescent="0.25">
      <c r="A109" s="1366"/>
      <c r="B109" s="1373" t="s">
        <v>545</v>
      </c>
      <c r="C109" s="288" t="s">
        <v>534</v>
      </c>
      <c r="D109" s="95">
        <v>3</v>
      </c>
      <c r="E109" s="111" t="s">
        <v>426</v>
      </c>
      <c r="F109" s="65">
        <f t="shared" si="5"/>
        <v>11</v>
      </c>
      <c r="G109" s="447"/>
      <c r="H109" s="448"/>
      <c r="I109" s="448"/>
      <c r="J109" s="448"/>
      <c r="K109" s="449"/>
      <c r="L109" s="490"/>
      <c r="M109" s="139">
        <f>IF(AND(VLOOKUP(M$2,'TIS Site Config'!$A$3:$AQ$51,6,FALSE)="Non-heated",
                    VALUE(RIGHT($C109,2)) = VLOOKUP(M$2,'TIS Site Config'!$A$3:$AQ$51,36,FALSE)),
        1,0)</f>
        <v>0</v>
      </c>
      <c r="N109" s="240">
        <f>IF(AND(VLOOKUP(N$2,'TIS Site Config'!$A$3:$AQ$51,6,FALSE)="Non-heated",
                    VALUE(RIGHT($C109,2)) = VLOOKUP(N$2,'TIS Site Config'!$A$3:$AQ$51,36,FALSE)),
        1,0)</f>
        <v>0</v>
      </c>
      <c r="O109" s="244">
        <f>IF(AND(VLOOKUP(O$2,'TIS Site Config'!$A$3:$AQ$51,6,FALSE)="Non-heated",
                    VALUE(RIGHT($C109,2)) = VLOOKUP(O$2,'TIS Site Config'!$A$3:$AQ$51,36,FALSE)),
        1,0)</f>
        <v>0</v>
      </c>
      <c r="P109" s="239">
        <f>IF(AND(VLOOKUP(P$2,'TIS Site Config'!$A$3:$AQ$51,6,FALSE)="Non-heated",
                    VALUE(RIGHT($C109,2)) = VLOOKUP(P$2,'TIS Site Config'!$A$3:$AQ$51,36,FALSE)),
        1,0)</f>
        <v>0</v>
      </c>
      <c r="Q109" s="240">
        <f>IF(AND(VLOOKUP(Q$2,'TIS Site Config'!$A$3:$AQ$51,6,FALSE)="Non-heated",
                    VALUE(RIGHT($C109,2)) = VLOOKUP(Q$2,'TIS Site Config'!$A$3:$AQ$51,36,FALSE)),
        1,0)</f>
        <v>0</v>
      </c>
      <c r="R109" s="139">
        <f>IF(AND(VLOOKUP(R$2,'TIS Site Config'!$A$3:$AQ$51,6,FALSE)="Non-heated",
                    VALUE(RIGHT($C109,2)) = VLOOKUP(R$2,'TIS Site Config'!$A$3:$AQ$51,36,FALSE)),
        1,0)</f>
        <v>1</v>
      </c>
      <c r="S109" s="239">
        <f>IF(AND(VLOOKUP(S$2,'TIS Site Config'!$A$3:$AQ$51,6,FALSE)="Non-heated",
                    VALUE(RIGHT($C109,2)) = VLOOKUP(S$2,'TIS Site Config'!$A$3:$AQ$51,36,FALSE)),
        1,0)</f>
        <v>1</v>
      </c>
      <c r="T109" s="240">
        <f>IF(AND(VLOOKUP(T$2,'TIS Site Config'!$A$3:$AQ$51,6,FALSE)="Non-heated",
                    VALUE(RIGHT($C109,2)) = VLOOKUP(T$2,'TIS Site Config'!$A$3:$AQ$51,36,FALSE)),
        1,0)</f>
        <v>1</v>
      </c>
      <c r="U109" s="139">
        <f>IF(AND(VLOOKUP(U$2,'TIS Site Config'!$A$3:$AQ$51,6,FALSE)="Non-heated",
                    VALUE(RIGHT($C109,2)) = VLOOKUP(U$2,'TIS Site Config'!$A$3:$AQ$51,36,FALSE)),
        1,0)</f>
        <v>1</v>
      </c>
      <c r="V109" s="240">
        <f>IF(AND(VLOOKUP(V$2,'TIS Site Config'!$A$3:$AQ$51,6,FALSE)="Non-heated",
                    VALUE(RIGHT($C109,2)) = VLOOKUP(V$2,'TIS Site Config'!$A$3:$AQ$51,36,FALSE)),
        1,0)</f>
        <v>1</v>
      </c>
      <c r="W109" s="243">
        <f>IF(AND(VLOOKUP(W$2,'TIS Site Config'!$A$3:$AQ$51,6,FALSE)="Non-heated",
                    VALUE(RIGHT($C109,2)) = VLOOKUP(W$2,'TIS Site Config'!$A$3:$AQ$51,36,FALSE)),
        1,0)</f>
        <v>0</v>
      </c>
      <c r="X109" s="239">
        <f>IF(AND(VLOOKUP(X$2,'TIS Site Config'!$A$3:$AQ$51,6,FALSE)="Non-heated",
                    VALUE(RIGHT($C109,2)) = VLOOKUP(X$2,'TIS Site Config'!$A$3:$AQ$51,36,FALSE)),
        1,0)</f>
        <v>0</v>
      </c>
      <c r="Y109" s="240">
        <f>IF(AND(VLOOKUP(Y$2,'TIS Site Config'!$A$3:$AQ$51,6,FALSE)="Non-heated",
                    VALUE(RIGHT($C109,2)) = VLOOKUP(Y$2,'TIS Site Config'!$A$3:$AQ$51,36,FALSE)),
        1,0)</f>
        <v>0</v>
      </c>
      <c r="Z109" s="139">
        <f>IF(AND(VLOOKUP(Z$2,'TIS Site Config'!$A$3:$AQ$51,6,FALSE)="Non-heated",
                    VALUE(RIGHT($C109,2)) = VLOOKUP(Z$2,'TIS Site Config'!$A$3:$AQ$51,36,FALSE)),
        1,0)</f>
        <v>0</v>
      </c>
      <c r="AA109" s="239">
        <f>IF(AND(VLOOKUP(AA$2,'TIS Site Config'!$A$3:$AQ$51,6,FALSE)="Non-heated",
                    VALUE(RIGHT($C109,2)) = VLOOKUP(AA$2,'TIS Site Config'!$A$3:$AQ$51,36,FALSE)),
        1,0)</f>
        <v>0</v>
      </c>
      <c r="AB109" s="240">
        <f>IF(AND(VLOOKUP(AB$2,'TIS Site Config'!$A$3:$AQ$51,6,FALSE)="Non-heated",
                    VALUE(RIGHT($C109,2)) = VLOOKUP(AB$2,'TIS Site Config'!$A$3:$AQ$51,36,FALSE)),
        1,0)</f>
        <v>0</v>
      </c>
      <c r="AC109" s="239">
        <f>IF(AND(VLOOKUP(AC$2,'TIS Site Config'!$A$3:$AQ$51,6,FALSE)="Non-heated",
                    VALUE(RIGHT($C109,2)) = VLOOKUP(AC$2,'TIS Site Config'!$A$3:$AQ$51,36,FALSE)),
        1,0)</f>
        <v>0</v>
      </c>
      <c r="AD109" s="241">
        <f>IF(AND(VLOOKUP(AD$2,'TIS Site Config'!$A$3:$AQ$51,6,FALSE)="Non-heated",
                    VALUE(RIGHT($C109,2)) = VLOOKUP(AD$2,'TIS Site Config'!$A$3:$AQ$51,36,FALSE)),
        1,0)</f>
        <v>0</v>
      </c>
      <c r="AE109" s="241">
        <f>IF(AND(VLOOKUP(AE$2,'TIS Site Config'!$A$3:$AQ$51,6,FALSE)="Non-heated",
                    VALUE(RIGHT($C109,2)) = VLOOKUP(AE$2,'TIS Site Config'!$A$3:$AQ$51,36,FALSE)),
        1,0)</f>
        <v>0</v>
      </c>
      <c r="AF109" s="242">
        <f>IF(AND(VLOOKUP(AF$2,'TIS Site Config'!$A$3:$AQ$51,6,FALSE)="Non-heated",
                    VALUE(RIGHT($C109,2)) = VLOOKUP(AF$2,'TIS Site Config'!$A$3:$AQ$51,36,FALSE)),
        1,0)</f>
        <v>1</v>
      </c>
      <c r="AG109" s="239">
        <f>IF(AND(VLOOKUP(AG$2,'TIS Site Config'!$A$3:$AQ$51,6,FALSE)="Non-heated",
                    VALUE(RIGHT($C109,2)) = VLOOKUP(AG$2,'TIS Site Config'!$A$3:$AQ$51,36,FALSE)),
        1,0)</f>
        <v>1</v>
      </c>
      <c r="AH109" s="240">
        <f>IF(AND(VLOOKUP(AH$2,'TIS Site Config'!$A$3:$AQ$51,6,FALSE)="Non-heated",
                    VALUE(RIGHT($C109,2)) = VLOOKUP(AH$2,'TIS Site Config'!$A$3:$AQ$51,36,FALSE)),
        1,0)</f>
        <v>1</v>
      </c>
      <c r="AI109" s="139">
        <f>IF(AND(VLOOKUP(AI$2,'TIS Site Config'!$A$3:$AQ$51,6,FALSE)="Non-heated",
                    VALUE(RIGHT($C109,2)) = VLOOKUP(AI$2,'TIS Site Config'!$A$3:$AQ$51,36,FALSE)),
        1,0)</f>
        <v>0</v>
      </c>
      <c r="AJ109" s="239">
        <f>IF(AND(VLOOKUP(AJ$2,'TIS Site Config'!$A$3:$AQ$51,6,FALSE)="Non-heated",
                    VALUE(RIGHT($C109,2)) = VLOOKUP(AJ$2,'TIS Site Config'!$A$3:$AQ$51,36,FALSE)),
        1,0)</f>
        <v>0</v>
      </c>
      <c r="AK109" s="240">
        <f>IF(AND(VLOOKUP(AK$2,'TIS Site Config'!$A$3:$AQ$51,6,FALSE)="Non-heated",
                    VALUE(RIGHT($C109,2)) = VLOOKUP(AK$2,'TIS Site Config'!$A$3:$AQ$51,36,FALSE)),
        1,0)</f>
        <v>0</v>
      </c>
      <c r="AL109" s="139">
        <f>IF(AND(VLOOKUP(AL$2,'TIS Site Config'!$A$3:$AQ$51,6,FALSE)="Non-heated",
                    VALUE(RIGHT($C109,2)) = VLOOKUP(AL$2,'TIS Site Config'!$A$3:$AQ$51,36,FALSE)),
        1,0)</f>
        <v>0</v>
      </c>
      <c r="AM109" s="239">
        <f>IF(AND(VLOOKUP(AM$2,'TIS Site Config'!$A$3:$AQ$51,6,FALSE)="Non-heated",
                    VALUE(RIGHT($C109,2)) = VLOOKUP(AM$2,'TIS Site Config'!$A$3:$AQ$51,36,FALSE)),
        1,0)</f>
        <v>0</v>
      </c>
      <c r="AN109" s="939">
        <f>IF(AND(VLOOKUP(AN$2,'TIS Site Config'!$A$3:$AQ$51,6,FALSE)="Non-heated",
                    VALUE(RIGHT($C109,2)) = VLOOKUP(AN$2,'TIS Site Config'!$A$3:$AQ$51,36,FALSE)),
        1,0)</f>
        <v>0</v>
      </c>
      <c r="AO109" s="139">
        <f>IF(AND(VLOOKUP(AO$2,'TIS Site Config'!$A$3:$AQ$51,6,FALSE)="Non-heated",
                    VALUE(RIGHT($C109,2)) = VLOOKUP(AO$2,'TIS Site Config'!$A$3:$AQ$51,36,FALSE)),
        1,0)</f>
        <v>0</v>
      </c>
      <c r="AP109" s="239">
        <f>IF(AND(VLOOKUP(AP$2,'TIS Site Config'!$A$3:$AQ$51,6,FALSE)="Non-heated",
                    VALUE(RIGHT($C109,2)) = VLOOKUP(AP$2,'TIS Site Config'!$A$3:$AQ$51,36,FALSE)),
        1,0)</f>
        <v>0</v>
      </c>
      <c r="AQ109" s="1006">
        <f>IF(AND(VLOOKUP(AQ$2,'TIS Site Config'!$A$3:$AQ$51,6,FALSE)="Non-heated",
                    VALUE(RIGHT($C109,2)) = VLOOKUP(AQ$2,'TIS Site Config'!$A$3:$AQ$51,36,FALSE)),
        1,0)</f>
        <v>0</v>
      </c>
      <c r="AR109" s="1006">
        <f>IF(AND(VLOOKUP(AR$2,'TIS Site Config'!$A$3:$AQ$51,6,FALSE)="Non-heated",
                    VALUE(RIGHT($C109,2)) = VLOOKUP(AR$2,'TIS Site Config'!$A$3:$AQ$51,36,FALSE)),
        1,0)</f>
        <v>0</v>
      </c>
      <c r="AS109" s="239">
        <f>IF(AND(VLOOKUP(AS$2,'TIS Site Config'!$A$3:$AQ$51,6,FALSE)="Non-heated",
                    VALUE(RIGHT($C109,2)) = VLOOKUP(AS$2,'TIS Site Config'!$A$3:$AQ$51,36,FALSE)),
        1,0)</f>
        <v>0</v>
      </c>
      <c r="AT109" s="139">
        <f>IF(AND(VLOOKUP(AT$2,'TIS Site Config'!$A$3:$AQ$51,6,FALSE)="Non-heated",
                    VALUE(RIGHT($C109,2)) = VLOOKUP(AT$2,'TIS Site Config'!$A$3:$AQ$51,36,FALSE)),
        1,0)</f>
        <v>1</v>
      </c>
      <c r="AU109" s="239">
        <f>IF(AND(VLOOKUP(AU$2,'TIS Site Config'!$A$3:$AQ$51,6,FALSE)="Non-heated",
                    VALUE(RIGHT($C109,2)) = VLOOKUP(AU$2,'TIS Site Config'!$A$3:$AQ$51,36,FALSE)),
        1,0)</f>
        <v>1</v>
      </c>
      <c r="AV109" s="139">
        <f>IF(AND(VLOOKUP(AV$2,'TIS Site Config'!$A$3:$AQ$51,6,FALSE)="Non-heated",
                    VALUE(RIGHT($C109,2)) = VLOOKUP(AV$2,'TIS Site Config'!$A$3:$AQ$51,36,FALSE)),
        1,0)</f>
        <v>0</v>
      </c>
      <c r="AW109" s="139">
        <f>IF(AND(VLOOKUP(AW$2,'TIS Site Config'!$A$3:$AQ$51,6,FALSE)="Non-heated",
                    VALUE(RIGHT($C109,2)) = VLOOKUP(AW$2,'TIS Site Config'!$A$3:$AQ$51,36,FALSE)),
        1,0)</f>
        <v>0</v>
      </c>
      <c r="AX109" s="240">
        <f>IF(AND(VLOOKUP(AX$2,'TIS Site Config'!$A$3:$AQ$51,6,FALSE)="Non-heated",
                    VALUE(RIGHT($C109,2)) = VLOOKUP(AX$2,'TIS Site Config'!$A$3:$AQ$51,36,FALSE)),
        1,0)</f>
        <v>0</v>
      </c>
      <c r="AY109" s="139">
        <f>IF(AND(VLOOKUP(AY$2,'TIS Site Config'!$A$3:$AQ$51,6,FALSE)="Non-heated",
                    VALUE(RIGHT($C109,2)) = VLOOKUP(AY$2,'TIS Site Config'!$A$3:$AQ$51,36,FALSE)),
        1,0)</f>
        <v>0</v>
      </c>
      <c r="AZ109" s="239">
        <f>IF(AND(VLOOKUP(AZ$2,'TIS Site Config'!$A$3:$AQ$51,6,FALSE)="Non-heated",
                    VALUE(RIGHT($C109,2)) = VLOOKUP(AZ$2,'TIS Site Config'!$A$3:$AQ$51,36,FALSE)),
        1,0)</f>
        <v>0</v>
      </c>
      <c r="BA109" s="987">
        <f>IF(AND(VLOOKUP(BA$2,'TIS Site Config'!$A$3:$AQ$51,6,FALSE)="Non-heated",
                    VALUE(RIGHT($C109,2)) = VLOOKUP(BA$2,'TIS Site Config'!$A$3:$AQ$51,36,FALSE)),
        1,0)</f>
        <v>0</v>
      </c>
      <c r="BB109" s="139">
        <f>IF(AND(VLOOKUP(BB$2,'TIS Site Config'!$A$3:$AQ$51,6,FALSE)="Non-heated",
                    VALUE(RIGHT($C109,2)) = VLOOKUP(BB$2,'TIS Site Config'!$A$3:$AQ$51,36,FALSE)),
        1,0)</f>
        <v>0</v>
      </c>
      <c r="BC109" s="240">
        <f>IF(AND(VLOOKUP(BC$2,'TIS Site Config'!$A$3:$AQ$51,6,FALSE)="Non-heated",
                    VALUE(RIGHT($C109,2)) = VLOOKUP(BC$2,'TIS Site Config'!$A$3:$AQ$51,36,FALSE)),
        1,0)</f>
        <v>0</v>
      </c>
      <c r="BD109" s="139">
        <f>IF(AND(VLOOKUP(BD$2,'TIS Site Config'!$A$3:$AQ$51,6,FALSE)="Non-heated",
                    VALUE(RIGHT($C109,2)) = VLOOKUP(BD$2,'TIS Site Config'!$A$3:$AQ$51,36,FALSE)),
        1,0)</f>
        <v>0</v>
      </c>
      <c r="BE109" s="239">
        <f>IF(AND(VLOOKUP(BE$2,'TIS Site Config'!$A$3:$AQ$51,6,FALSE)="Non-heated",
                    VALUE(RIGHT($C109,2)) = VLOOKUP(BE$2,'TIS Site Config'!$A$3:$AQ$51,36,FALSE)),
        1,0)</f>
        <v>0</v>
      </c>
      <c r="BF109" s="240">
        <f>IF(AND(VLOOKUP(BF$2,'TIS Site Config'!$A$3:$AQ$51,6,FALSE)="Non-heated",
                    VALUE(RIGHT($C109,2)) = VLOOKUP(BF$2,'TIS Site Config'!$A$3:$AQ$51,36,FALSE)),
        1,0)</f>
        <v>0</v>
      </c>
      <c r="BG109" s="65">
        <f>IF(AND(VLOOKUP(BG$2,'TIS Site Config'!$A$3:$AQ$51,6,FALSE)="Non-heated",
                    VALUE(RIGHT($C109,2)) = VLOOKUP(BG$2,'TIS Site Config'!$A$3:$AQ$51,36,FALSE)),
        1,0)</f>
        <v>1</v>
      </c>
      <c r="BH109" s="65">
        <f>IF(AND(VLOOKUP(BH$2,'TIS Site Config'!$A$3:$AQ$51,6,FALSE)="Non-heated",
                    VALUE(RIGHT($C109,2)) = VLOOKUP(BH$2,'TIS Site Config'!$A$3:$AQ$51,36,FALSE)),
        1,0)</f>
        <v>0</v>
      </c>
      <c r="BI109" s="10" t="s">
        <v>971</v>
      </c>
      <c r="BK109" s="10">
        <v>15</v>
      </c>
      <c r="BL109" s="950" t="b">
        <f>F109=BK109</f>
        <v>0</v>
      </c>
      <c r="BO109" s="950"/>
    </row>
    <row r="110" spans="1:67" s="44" customFormat="1" x14ac:dyDescent="0.25">
      <c r="A110" s="1366"/>
      <c r="B110" s="1374"/>
      <c r="C110" s="57" t="s">
        <v>884</v>
      </c>
      <c r="D110" s="90">
        <v>4</v>
      </c>
      <c r="E110" s="84" t="s">
        <v>887</v>
      </c>
      <c r="F110" s="60">
        <f t="shared" si="5"/>
        <v>11</v>
      </c>
      <c r="G110" s="462"/>
      <c r="H110" s="463"/>
      <c r="I110" s="463"/>
      <c r="J110" s="463"/>
      <c r="K110" s="464"/>
      <c r="L110" s="495"/>
      <c r="M110" s="134">
        <f>IF(AND(OR(VLOOKUP(M$2,'TIS Site Config'!$A$3:$AQ$51,6,FALSE)="Heated",
                           VLOOKUP(M$2,'TIS Site Config'!$A$3:$AQ$51,6,FALSE)="Extreme Heated"),
                   VALUE(RIGHT($C110,2)) = VLOOKUP(M$2,'TIS Site Config'!$A$3:$AQ$51,36,FALSE),
                    VLOOKUP(M$2,'Tower configuration'!$A$3:$BN$51,66,FALSE)=1),
        1,0)</f>
        <v>1</v>
      </c>
      <c r="N110" s="212">
        <f>IF(AND(OR(VLOOKUP(N$2,'TIS Site Config'!$A$3:$AQ$51,6,FALSE)="Heated",
                           VLOOKUP(N$2,'TIS Site Config'!$A$3:$AQ$51,6,FALSE)="Extreme Heated"),
                   VALUE(RIGHT($C110,2)) = VLOOKUP(N$2,'TIS Site Config'!$A$3:$AQ$51,36,FALSE),
                    VLOOKUP(N$2,'Tower configuration'!$A$3:$BN$51,66,FALSE)=1),
        1,0)</f>
        <v>0</v>
      </c>
      <c r="O110" s="215">
        <f>IF(AND(OR(VLOOKUP(O$2,'TIS Site Config'!$A$3:$AQ$51,6,FALSE)="Heated",
                           VLOOKUP(O$2,'TIS Site Config'!$A$3:$AQ$51,6,FALSE)="Extreme Heated"),
                   VALUE(RIGHT($C110,2)) = VLOOKUP(O$2,'TIS Site Config'!$A$3:$AQ$51,36,FALSE),
                    VLOOKUP(O$2,'Tower configuration'!$A$3:$BN$51,66,FALSE)=1),
        1,0)</f>
        <v>1</v>
      </c>
      <c r="P110" s="309">
        <f>IF(AND(OR(VLOOKUP(P$2,'TIS Site Config'!$A$3:$AQ$51,6,FALSE)="Heated",
                           VLOOKUP(P$2,'TIS Site Config'!$A$3:$AQ$51,6,FALSE)="Extreme Heated"),
                   VALUE(RIGHT($C110,2)) = VLOOKUP(P$2,'TIS Site Config'!$A$3:$AQ$51,36,FALSE),
                    VLOOKUP(P$2,'Tower configuration'!$A$3:$BN$51,66,FALSE)=1),
        1,0)</f>
        <v>1</v>
      </c>
      <c r="Q110" s="212">
        <f>IF(AND(OR(VLOOKUP(Q$2,'TIS Site Config'!$A$3:$AQ$51,6,FALSE)="Heated",
                           VLOOKUP(Q$2,'TIS Site Config'!$A$3:$AQ$51,6,FALSE)="Extreme Heated"),
                   VALUE(RIGHT($C110,2)) = VLOOKUP(Q$2,'TIS Site Config'!$A$3:$AQ$51,36,FALSE),
                    VLOOKUP(Q$2,'Tower configuration'!$A$3:$BN$51,66,FALSE)=1),
        1,0)</f>
        <v>0</v>
      </c>
      <c r="R110" s="134">
        <f>IF(AND(OR(VLOOKUP(R$2,'TIS Site Config'!$A$3:$AQ$51,6,FALSE)="Heated",
                           VLOOKUP(R$2,'TIS Site Config'!$A$3:$AQ$51,6,FALSE)="Extreme Heated"),
                   VALUE(RIGHT($C110,2)) = VLOOKUP(R$2,'TIS Site Config'!$A$3:$AQ$51,36,FALSE),
                    VLOOKUP(R$2,'Tower configuration'!$A$3:$BN$51,66,FALSE)=1),
        1,0)</f>
        <v>0</v>
      </c>
      <c r="S110" s="309">
        <f>IF(AND(OR(VLOOKUP(S$2,'TIS Site Config'!$A$3:$AQ$51,6,FALSE)="Heated",
                           VLOOKUP(S$2,'TIS Site Config'!$A$3:$AQ$51,6,FALSE)="Extreme Heated"),
                   VALUE(RIGHT($C110,2)) = VLOOKUP(S$2,'TIS Site Config'!$A$3:$AQ$51,36,FALSE),
                    VLOOKUP(S$2,'Tower configuration'!$A$3:$BN$51,66,FALSE)=1),
        1,0)</f>
        <v>0</v>
      </c>
      <c r="T110" s="212">
        <f>IF(AND(OR(VLOOKUP(T$2,'TIS Site Config'!$A$3:$AQ$51,6,FALSE)="Heated",
                           VLOOKUP(T$2,'TIS Site Config'!$A$3:$AQ$51,6,FALSE)="Extreme Heated"),
                   VALUE(RIGHT($C110,2)) = VLOOKUP(T$2,'TIS Site Config'!$A$3:$AQ$51,36,FALSE),
                    VLOOKUP(T$2,'Tower configuration'!$A$3:$BN$51,66,FALSE)=1),
        1,0)</f>
        <v>0</v>
      </c>
      <c r="U110" s="134">
        <f>IF(AND(OR(VLOOKUP(U$2,'TIS Site Config'!$A$3:$AQ$51,6,FALSE)="Heated",
                           VLOOKUP(U$2,'TIS Site Config'!$A$3:$AQ$51,6,FALSE)="Extreme Heated"),
                   VALUE(RIGHT($C110,2)) = VLOOKUP(U$2,'TIS Site Config'!$A$3:$AQ$51,36,FALSE),
                    VLOOKUP(U$2,'Tower configuration'!$A$3:$BN$51,66,FALSE)=1),
        1,0)</f>
        <v>0</v>
      </c>
      <c r="V110" s="212">
        <f>IF(AND(OR(VLOOKUP(V$2,'TIS Site Config'!$A$3:$AQ$51,6,FALSE)="Heated",
                           VLOOKUP(V$2,'TIS Site Config'!$A$3:$AQ$51,6,FALSE)="Extreme Heated"),
                   VALUE(RIGHT($C110,2)) = VLOOKUP(V$2,'TIS Site Config'!$A$3:$AQ$51,36,FALSE),
                    VLOOKUP(V$2,'Tower configuration'!$A$3:$BN$51,66,FALSE)=1),
        1,0)</f>
        <v>0</v>
      </c>
      <c r="W110" s="214">
        <f>IF(AND(OR(VLOOKUP(W$2,'TIS Site Config'!$A$3:$AQ$51,6,FALSE)="Heated",
                           VLOOKUP(W$2,'TIS Site Config'!$A$3:$AQ$51,6,FALSE)="Extreme Heated"),
                   VALUE(RIGHT($C110,2)) = VLOOKUP(W$2,'TIS Site Config'!$A$3:$AQ$51,36,FALSE),
                    VLOOKUP(W$2,'Tower configuration'!$A$3:$BN$51,66,FALSE)=1),
        1,0)</f>
        <v>1</v>
      </c>
      <c r="X110" s="309">
        <f>IF(AND(OR(VLOOKUP(X$2,'TIS Site Config'!$A$3:$AQ$51,6,FALSE)="Heated",
                           VLOOKUP(X$2,'TIS Site Config'!$A$3:$AQ$51,6,FALSE)="Extreme Heated"),
                   VALUE(RIGHT($C110,2)) = VLOOKUP(X$2,'TIS Site Config'!$A$3:$AQ$51,36,FALSE),
                    VLOOKUP(X$2,'Tower configuration'!$A$3:$BN$51,66,FALSE)=1),
        1,0)</f>
        <v>0</v>
      </c>
      <c r="Y110" s="212">
        <f>IF(AND(OR(VLOOKUP(Y$2,'TIS Site Config'!$A$3:$AQ$51,6,FALSE)="Heated",
                           VLOOKUP(Y$2,'TIS Site Config'!$A$3:$AQ$51,6,FALSE)="Extreme Heated"),
                   VALUE(RIGHT($C110,2)) = VLOOKUP(Y$2,'TIS Site Config'!$A$3:$AQ$51,36,FALSE),
                    VLOOKUP(Y$2,'Tower configuration'!$A$3:$BN$51,66,FALSE)=1),
        1,0)</f>
        <v>0</v>
      </c>
      <c r="Z110" s="134">
        <f>IF(AND(OR(VLOOKUP(Z$2,'TIS Site Config'!$A$3:$AQ$51,6,FALSE)="Heated",
                           VLOOKUP(Z$2,'TIS Site Config'!$A$3:$AQ$51,6,FALSE)="Extreme Heated"),
                   VALUE(RIGHT($C110,2)) = VLOOKUP(Z$2,'TIS Site Config'!$A$3:$AQ$51,36,FALSE),
                    VLOOKUP(Z$2,'Tower configuration'!$A$3:$BN$51,66,FALSE)=1),
        1,0)</f>
        <v>0</v>
      </c>
      <c r="AA110" s="309">
        <f>IF(AND(OR(VLOOKUP(AA$2,'TIS Site Config'!$A$3:$AQ$51,6,FALSE)="Heated",
                           VLOOKUP(AA$2,'TIS Site Config'!$A$3:$AQ$51,6,FALSE)="Extreme Heated"),
                   VALUE(RIGHT($C110,2)) = VLOOKUP(AA$2,'TIS Site Config'!$A$3:$AQ$51,36,FALSE),
                    VLOOKUP(AA$2,'Tower configuration'!$A$3:$BN$51,66,FALSE)=1),
        1,0)</f>
        <v>0</v>
      </c>
      <c r="AB110" s="212">
        <f>IF(AND(OR(VLOOKUP(AB$2,'TIS Site Config'!$A$3:$AQ$51,6,FALSE)="Heated",
                           VLOOKUP(AB$2,'TIS Site Config'!$A$3:$AQ$51,6,FALSE)="Extreme Heated"),
                   VALUE(RIGHT($C110,2)) = VLOOKUP(AB$2,'TIS Site Config'!$A$3:$AQ$51,36,FALSE),
                    VLOOKUP(AB$2,'Tower configuration'!$A$3:$BN$51,66,FALSE)=1),
        1,0)</f>
        <v>0</v>
      </c>
      <c r="AC110" s="309">
        <f>IF(AND(OR(VLOOKUP(AC$2,'TIS Site Config'!$A$3:$AQ$51,6,FALSE)="Heated",
                           VLOOKUP(AC$2,'TIS Site Config'!$A$3:$AQ$51,6,FALSE)="Extreme Heated"),
                   VALUE(RIGHT($C110,2)) = VLOOKUP(AC$2,'TIS Site Config'!$A$3:$AQ$51,36,FALSE),
                    VLOOKUP(AC$2,'Tower configuration'!$A$3:$BN$51,66,FALSE)=1),
        1,0)</f>
        <v>1</v>
      </c>
      <c r="AD110" s="213">
        <f>IF(AND(OR(VLOOKUP(AD$2,'TIS Site Config'!$A$3:$AQ$51,6,FALSE)="Heated",
                           VLOOKUP(AD$2,'TIS Site Config'!$A$3:$AQ$51,6,FALSE)="Extreme Heated"),
                   VALUE(RIGHT($C110,2)) = VLOOKUP(AD$2,'TIS Site Config'!$A$3:$AQ$51,36,FALSE),
                    VLOOKUP(AD$2,'Tower configuration'!$A$3:$BN$51,66,FALSE)=1),
        1,0)</f>
        <v>1</v>
      </c>
      <c r="AE110" s="213">
        <f>IF(AND(OR(VLOOKUP(AE$2,'TIS Site Config'!$A$3:$AQ$51,6,FALSE)="Heated",
                           VLOOKUP(AE$2,'TIS Site Config'!$A$3:$AQ$51,6,FALSE)="Extreme Heated"),
                   VALUE(RIGHT($C110,2)) = VLOOKUP(AE$2,'TIS Site Config'!$A$3:$AQ$51,36,FALSE),
                    VLOOKUP(AE$2,'Tower configuration'!$A$3:$BN$51,66,FALSE)=1),
        1,0)</f>
        <v>1</v>
      </c>
      <c r="AF110" s="39">
        <f>IF(AND(OR(VLOOKUP(AF$2,'TIS Site Config'!$A$3:$AQ$51,6,FALSE)="Heated",
                           VLOOKUP(AF$2,'TIS Site Config'!$A$3:$AQ$51,6,FALSE)="Extreme Heated"),
                   VALUE(RIGHT($C110,2)) = VLOOKUP(AF$2,'TIS Site Config'!$A$3:$AQ$51,36,FALSE),
                    VLOOKUP(AF$2,'Tower configuration'!$A$3:$BN$51,66,FALSE)=1),
        1,0)</f>
        <v>0</v>
      </c>
      <c r="AG110" s="309">
        <f>IF(AND(OR(VLOOKUP(AG$2,'TIS Site Config'!$A$3:$AQ$51,6,FALSE)="Heated",
                           VLOOKUP(AG$2,'TIS Site Config'!$A$3:$AQ$51,6,FALSE)="Extreme Heated"),
                   VALUE(RIGHT($C110,2)) = VLOOKUP(AG$2,'TIS Site Config'!$A$3:$AQ$51,36,FALSE),
                    VLOOKUP(AG$2,'Tower configuration'!$A$3:$BN$51,66,FALSE)=1),
        1,0)</f>
        <v>0</v>
      </c>
      <c r="AH110" s="212">
        <f>IF(AND(OR(VLOOKUP(AH$2,'TIS Site Config'!$A$3:$AQ$51,6,FALSE)="Heated",
                           VLOOKUP(AH$2,'TIS Site Config'!$A$3:$AQ$51,6,FALSE)="Extreme Heated"),
                   VALUE(RIGHT($C110,2)) = VLOOKUP(AH$2,'TIS Site Config'!$A$3:$AQ$51,36,FALSE),
                    VLOOKUP(AH$2,'Tower configuration'!$A$3:$BN$51,66,FALSE)=1),
        1,0)</f>
        <v>0</v>
      </c>
      <c r="AI110" s="134">
        <f>IF(AND(OR(VLOOKUP(AI$2,'TIS Site Config'!$A$3:$AQ$51,6,FALSE)="Heated",
                           VLOOKUP(AI$2,'TIS Site Config'!$A$3:$AQ$51,6,FALSE)="Extreme Heated"),
                   VALUE(RIGHT($C110,2)) = VLOOKUP(AI$2,'TIS Site Config'!$A$3:$AQ$51,36,FALSE),
                    VLOOKUP(AI$2,'Tower configuration'!$A$3:$BN$51,66,FALSE)=1),
        1,0)</f>
        <v>0</v>
      </c>
      <c r="AJ110" s="309">
        <f>IF(AND(OR(VLOOKUP(AJ$2,'TIS Site Config'!$A$3:$AQ$51,6,FALSE)="Heated",
                           VLOOKUP(AJ$2,'TIS Site Config'!$A$3:$AQ$51,6,FALSE)="Extreme Heated"),
                   VALUE(RIGHT($C110,2)) = VLOOKUP(AJ$2,'TIS Site Config'!$A$3:$AQ$51,36,FALSE),
                    VLOOKUP(AJ$2,'Tower configuration'!$A$3:$BN$51,66,FALSE)=1),
        1,0)</f>
        <v>0</v>
      </c>
      <c r="AK110" s="212">
        <f>IF(AND(OR(VLOOKUP(AK$2,'TIS Site Config'!$A$3:$AQ$51,6,FALSE)="Heated",
                           VLOOKUP(AK$2,'TIS Site Config'!$A$3:$AQ$51,6,FALSE)="Extreme Heated"),
                   VALUE(RIGHT($C110,2)) = VLOOKUP(AK$2,'TIS Site Config'!$A$3:$AQ$51,36,FALSE),
                    VLOOKUP(AK$2,'Tower configuration'!$A$3:$BN$51,66,FALSE)=1),
        1,0)</f>
        <v>0</v>
      </c>
      <c r="AL110" s="134">
        <f>IF(AND(OR(VLOOKUP(AL$2,'TIS Site Config'!$A$3:$AQ$51,6,FALSE)="Heated",
                           VLOOKUP(AL$2,'TIS Site Config'!$A$3:$AQ$51,6,FALSE)="Extreme Heated"),
                   VALUE(RIGHT($C110,2)) = VLOOKUP(AL$2,'TIS Site Config'!$A$3:$AQ$51,36,FALSE),
                    VLOOKUP(AL$2,'Tower configuration'!$A$3:$BN$51,66,FALSE)=1),
        1,0)</f>
        <v>0</v>
      </c>
      <c r="AM110" s="309">
        <f>IF(AND(OR(VLOOKUP(AM$2,'TIS Site Config'!$A$3:$AQ$51,6,FALSE)="Heated",
                           VLOOKUP(AM$2,'TIS Site Config'!$A$3:$AQ$51,6,FALSE)="Extreme Heated"),
                   VALUE(RIGHT($C110,2)) = VLOOKUP(AM$2,'TIS Site Config'!$A$3:$AQ$51,36,FALSE),
                    VLOOKUP(AM$2,'Tower configuration'!$A$3:$BN$51,66,FALSE)=1),
        1,0)</f>
        <v>0</v>
      </c>
      <c r="AN110" s="212">
        <f>IF(AND(OR(VLOOKUP(AN$2,'TIS Site Config'!$A$3:$AQ$51,6,FALSE)="Heated",
                           VLOOKUP(AN$2,'TIS Site Config'!$A$3:$AQ$51,6,FALSE)="Extreme Heated"),
                   VALUE(RIGHT($C110,2)) = VLOOKUP(AN$2,'TIS Site Config'!$A$3:$AQ$51,36,FALSE),
                    VLOOKUP(AN$2,'Tower configuration'!$A$3:$BN$51,66,FALSE)=1),
        1,0)</f>
        <v>1</v>
      </c>
      <c r="AO110" s="134">
        <f>IF(AND(OR(VLOOKUP(AO$2,'TIS Site Config'!$A$3:$AQ$51,6,FALSE)="Heated",
                           VLOOKUP(AO$2,'TIS Site Config'!$A$3:$AQ$51,6,FALSE)="Extreme Heated"),
                   VALUE(RIGHT($C110,2)) = VLOOKUP(AO$2,'TIS Site Config'!$A$3:$AQ$51,36,FALSE),
                    VLOOKUP(AO$2,'Tower configuration'!$A$3:$BN$51,66,FALSE)=1),
        1,0)</f>
        <v>0</v>
      </c>
      <c r="AP110" s="309">
        <f>IF(AND(OR(VLOOKUP(AP$2,'TIS Site Config'!$A$3:$AQ$51,6,FALSE)="Heated",
                           VLOOKUP(AP$2,'TIS Site Config'!$A$3:$AQ$51,6,FALSE)="Extreme Heated"),
                   VALUE(RIGHT($C110,2)) = VLOOKUP(AP$2,'TIS Site Config'!$A$3:$AQ$51,36,FALSE),
                    VLOOKUP(AP$2,'Tower configuration'!$A$3:$BN$51,66,FALSE)=1),
        1,0)</f>
        <v>0</v>
      </c>
      <c r="AQ110" s="134">
        <f>IF(AND(OR(VLOOKUP(AQ$2,'TIS Site Config'!$A$3:$AQ$51,6,FALSE)="Heated",
                           VLOOKUP(AQ$2,'TIS Site Config'!$A$3:$AQ$51,6,FALSE)="Extreme Heated"),
                   VALUE(RIGHT($C110,2)) = VLOOKUP(AQ$2,'TIS Site Config'!$A$3:$AQ$51,36,FALSE),
                    VLOOKUP(AQ$2,'Tower configuration'!$A$3:$BN$51,66,FALSE)=1),
        1,0)</f>
        <v>0</v>
      </c>
      <c r="AR110" s="134">
        <f>IF(AND(OR(VLOOKUP(AR$2,'TIS Site Config'!$A$3:$AQ$51,6,FALSE)="Heated",
                           VLOOKUP(AR$2,'TIS Site Config'!$A$3:$AQ$51,6,FALSE)="Extreme Heated"),
                   VALUE(RIGHT($C110,2)) = VLOOKUP(AR$2,'TIS Site Config'!$A$3:$AQ$51,36,FALSE),
                    VLOOKUP(AR$2,'Tower configuration'!$A$3:$BN$51,66,FALSE)=1),
        1,0)</f>
        <v>0</v>
      </c>
      <c r="AS110" s="309">
        <f>IF(AND(OR(VLOOKUP(AS$2,'TIS Site Config'!$A$3:$AQ$51,6,FALSE)="Heated",
                           VLOOKUP(AS$2,'TIS Site Config'!$A$3:$AQ$51,6,FALSE)="Extreme Heated"),
                   VALUE(RIGHT($C110,2)) = VLOOKUP(AS$2,'TIS Site Config'!$A$3:$AQ$51,36,FALSE),
                    VLOOKUP(AS$2,'Tower configuration'!$A$3:$BN$51,66,FALSE)=1),
        1,0)</f>
        <v>0</v>
      </c>
      <c r="AT110" s="134">
        <f>IF(AND(OR(VLOOKUP(AT$2,'TIS Site Config'!$A$3:$AQ$51,6,FALSE)="Heated",
                           VLOOKUP(AT$2,'TIS Site Config'!$A$3:$AQ$51,6,FALSE)="Extreme Heated"),
                   VALUE(RIGHT($C110,2)) = VLOOKUP(AT$2,'TIS Site Config'!$A$3:$AQ$51,36,FALSE),
                    VLOOKUP(AT$2,'Tower configuration'!$A$3:$BN$51,66,FALSE)=1),
        1,0)</f>
        <v>0</v>
      </c>
      <c r="AU110" s="309">
        <f>IF(AND(OR(VLOOKUP(AU$2,'TIS Site Config'!$A$3:$AQ$51,6,FALSE)="Heated",
                           VLOOKUP(AU$2,'TIS Site Config'!$A$3:$AQ$51,6,FALSE)="Extreme Heated"),
                   VALUE(RIGHT($C110,2)) = VLOOKUP(AU$2,'TIS Site Config'!$A$3:$AQ$51,36,FALSE),
                    VLOOKUP(AU$2,'Tower configuration'!$A$3:$BN$51,66,FALSE)=1),
        1,0)</f>
        <v>0</v>
      </c>
      <c r="AV110" s="134">
        <f>IF(AND(OR(VLOOKUP(AV$2,'TIS Site Config'!$A$3:$AQ$51,6,FALSE)="Heated",
                           VLOOKUP(AV$2,'TIS Site Config'!$A$3:$AQ$51,6,FALSE)="Extreme Heated"),
                   VALUE(RIGHT($C110,2)) = VLOOKUP(AV$2,'TIS Site Config'!$A$3:$AQ$51,36,FALSE),
                    VLOOKUP(AV$2,'Tower configuration'!$A$3:$BN$51,66,FALSE)=1),
        1,0)</f>
        <v>0</v>
      </c>
      <c r="AW110" s="134">
        <f>IF(AND(OR(VLOOKUP(AW$2,'TIS Site Config'!$A$3:$AQ$51,6,FALSE)="Heated",
                           VLOOKUP(AW$2,'TIS Site Config'!$A$3:$AQ$51,6,FALSE)="Extreme Heated"),
                   VALUE(RIGHT($C110,2)) = VLOOKUP(AW$2,'TIS Site Config'!$A$3:$AQ$51,36,FALSE),
                    VLOOKUP(AW$2,'Tower configuration'!$A$3:$BN$51,66,FALSE)=1),
        1,0)</f>
        <v>1</v>
      </c>
      <c r="AX110" s="212">
        <f>IF(AND(OR(VLOOKUP(AX$2,'TIS Site Config'!$A$3:$AQ$51,6,FALSE)="Heated",
                           VLOOKUP(AX$2,'TIS Site Config'!$A$3:$AQ$51,6,FALSE)="Extreme Heated"),
                   VALUE(RIGHT($C110,2)) = VLOOKUP(AX$2,'TIS Site Config'!$A$3:$AQ$51,36,FALSE),
                    VLOOKUP(AX$2,'Tower configuration'!$A$3:$BN$51,66,FALSE)=1),
        1,0)</f>
        <v>1</v>
      </c>
      <c r="AY110" s="134">
        <f>IF(AND(OR(VLOOKUP(AY$2,'TIS Site Config'!$A$3:$AQ$51,6,FALSE)="Heated",
                           VLOOKUP(AY$2,'TIS Site Config'!$A$3:$AQ$51,6,FALSE)="Extreme Heated"),
                   VALUE(RIGHT($C110,2)) = VLOOKUP(AY$2,'TIS Site Config'!$A$3:$AQ$51,36,FALSE),
                    VLOOKUP(AY$2,'Tower configuration'!$A$3:$BN$51,66,FALSE)=1),
        1,0)</f>
        <v>0</v>
      </c>
      <c r="AZ110" s="309">
        <f>IF(AND(OR(VLOOKUP(AZ$2,'TIS Site Config'!$A$3:$AQ$51,6,FALSE)="Heated",
                           VLOOKUP(AZ$2,'TIS Site Config'!$A$3:$AQ$51,6,FALSE)="Extreme Heated"),
                   VALUE(RIGHT($C110,2)) = VLOOKUP(AZ$2,'TIS Site Config'!$A$3:$AQ$51,36,FALSE),
                    VLOOKUP(AZ$2,'Tower configuration'!$A$3:$BN$51,66,FALSE)=1),
        1,0)</f>
        <v>1</v>
      </c>
      <c r="BA110" s="213">
        <f>IF(AND(OR(VLOOKUP(BA$2,'TIS Site Config'!$A$3:$AQ$51,6,FALSE)="Heated",
                           VLOOKUP(BA$2,'TIS Site Config'!$A$3:$AQ$51,6,FALSE)="Extreme Heated"),
                   VALUE(RIGHT($C110,2)) = VLOOKUP(BA$2,'TIS Site Config'!$A$3:$AQ$51,36,FALSE),
                    VLOOKUP(BA$2,'Tower configuration'!$A$3:$BN$51,66,FALSE)=1),
        1,0)</f>
        <v>0</v>
      </c>
      <c r="BB110" s="134">
        <f>IF(AND(OR(VLOOKUP(BB$2,'TIS Site Config'!$A$3:$AQ$51,6,FALSE)="Heated",
                           VLOOKUP(BB$2,'TIS Site Config'!$A$3:$AQ$51,6,FALSE)="Extreme Heated"),
                   VALUE(RIGHT($C110,2)) = VLOOKUP(BB$2,'TIS Site Config'!$A$3:$AQ$51,36,FALSE),
                    VLOOKUP(BB$2,'Tower configuration'!$A$3:$BN$51,66,FALSE)=1),
        1,0)</f>
        <v>0</v>
      </c>
      <c r="BC110" s="212">
        <f>IF(AND(OR(VLOOKUP(BC$2,'TIS Site Config'!$A$3:$AQ$51,6,FALSE)="Heated",
                           VLOOKUP(BC$2,'TIS Site Config'!$A$3:$AQ$51,6,FALSE)="Extreme Heated"),
                   VALUE(RIGHT($C110,2)) = VLOOKUP(BC$2,'TIS Site Config'!$A$3:$AQ$51,36,FALSE),
                    VLOOKUP(BC$2,'Tower configuration'!$A$3:$BN$51,66,FALSE)=1),
        1,0)</f>
        <v>0</v>
      </c>
      <c r="BD110" s="134">
        <f>IF(AND(OR(VLOOKUP(BD$2,'TIS Site Config'!$A$3:$AQ$51,6,FALSE)="Heated",
                           VLOOKUP(BD$2,'TIS Site Config'!$A$3:$AQ$51,6,FALSE)="Extreme Heated"),
                   VALUE(RIGHT($C110,2)) = VLOOKUP(BD$2,'TIS Site Config'!$A$3:$AQ$51,36,FALSE),
                    VLOOKUP(BD$2,'Tower configuration'!$A$3:$BN$51,66,FALSE)=1),
        1,0)</f>
        <v>0</v>
      </c>
      <c r="BE110" s="309">
        <f>IF(AND(OR(VLOOKUP(BE$2,'TIS Site Config'!$A$3:$AQ$51,6,FALSE)="Heated",
                           VLOOKUP(BE$2,'TIS Site Config'!$A$3:$AQ$51,6,FALSE)="Extreme Heated"),
                   VALUE(RIGHT($C110,2)) = VLOOKUP(BE$2,'TIS Site Config'!$A$3:$AQ$51,36,FALSE),
                    VLOOKUP(BE$2,'Tower configuration'!$A$3:$BN$51,66,FALSE)=1),
        1,0)</f>
        <v>0</v>
      </c>
      <c r="BF110" s="212">
        <f>IF(AND(OR(VLOOKUP(BF$2,'TIS Site Config'!$A$3:$AQ$51,6,FALSE)="Heated",
                           VLOOKUP(BF$2,'TIS Site Config'!$A$3:$AQ$51,6,FALSE)="Extreme Heated"),
                   VALUE(RIGHT($C110,2)) = VLOOKUP(BF$2,'TIS Site Config'!$A$3:$AQ$51,36,FALSE),
                    VLOOKUP(BF$2,'Tower configuration'!$A$3:$BN$51,66,FALSE)=1),
        1,0)</f>
        <v>0</v>
      </c>
      <c r="BG110" s="60">
        <f>IF(AND(OR(VLOOKUP(BG$2,'TIS Site Config'!$A$3:$AQ$51,6,FALSE)="Heated",
                           VLOOKUP(BG$2,'TIS Site Config'!$A$3:$AQ$51,6,FALSE)="Extreme Heated"),
                   VALUE(RIGHT($C110,2)) = VLOOKUP(BG$2,'TIS Site Config'!$A$3:$AQ$51,36,FALSE),
                    VLOOKUP(BG$2,'Tower configuration'!$A$3:$BN$51,66,FALSE)=1),
        1,0)</f>
        <v>0</v>
      </c>
      <c r="BH110" s="60">
        <f>IF(AND(OR(VLOOKUP(BH$2,'TIS Site Config'!$A$3:$AQ$51,6,FALSE)="Heated",
                           VLOOKUP(BH$2,'TIS Site Config'!$A$3:$AQ$51,6,FALSE)="Extreme Heated"),
                   VALUE(RIGHT($C110,2)) = VLOOKUP(BH$2,'TIS Site Config'!$A$3:$AQ$51,36,FALSE),
                    VLOOKUP(BH$2,'Tower configuration'!$A$3:$BN$51,66,FALSE)=1),
        1,0)</f>
        <v>0</v>
      </c>
      <c r="BK110" s="44">
        <v>45</v>
      </c>
      <c r="BL110" s="950" t="b">
        <f>F110=BK110</f>
        <v>0</v>
      </c>
      <c r="BO110" s="950"/>
    </row>
    <row r="111" spans="1:67" s="950" customFormat="1" ht="30" x14ac:dyDescent="0.25">
      <c r="A111" s="1366"/>
      <c r="B111" s="1374"/>
      <c r="C111" s="57" t="s">
        <v>1067</v>
      </c>
      <c r="D111" s="90">
        <v>4</v>
      </c>
      <c r="E111" s="84" t="s">
        <v>1068</v>
      </c>
      <c r="F111" s="60">
        <f t="shared" si="5"/>
        <v>25</v>
      </c>
      <c r="G111" s="462"/>
      <c r="H111" s="463"/>
      <c r="I111" s="463"/>
      <c r="J111" s="463"/>
      <c r="K111" s="464"/>
      <c r="L111" s="495"/>
      <c r="M111" s="134">
        <f>IF(AND(OR(VLOOKUP(M$2,'TIS Site Config'!$A$3:$AQ$51,6,FALSE)="Heated",
                           VLOOKUP(M$2,'TIS Site Config'!$A$3:$AQ$51,6,FALSE)="Extreme Heated"),
                   VALUE(RIGHT($C110,2)) = VLOOKUP(M$2,'TIS Site Config'!$A$3:$AQ$51,36,FALSE),
                    VLOOKUP(M$2,'Tower configuration'!$A$3:$BN$51,66,FALSE)&lt;&gt;1),
        1,0)</f>
        <v>0</v>
      </c>
      <c r="N111" s="212">
        <f>IF(AND(OR(VLOOKUP(N$2,'TIS Site Config'!$A$3:$AQ$51,6,FALSE)="Heated",
                           VLOOKUP(N$2,'TIS Site Config'!$A$3:$AQ$51,6,FALSE)="Extreme Heated"),
                   VALUE(RIGHT($C110,2)) = VLOOKUP(N$2,'TIS Site Config'!$A$3:$AQ$51,36,FALSE),
                    VLOOKUP(N$2,'Tower configuration'!$A$3:$BN$51,66,FALSE)&lt;&gt;1),
        1,0)</f>
        <v>1</v>
      </c>
      <c r="O111" s="215">
        <f>IF(AND(OR(VLOOKUP(O$2,'TIS Site Config'!$A$3:$AQ$51,6,FALSE)="Heated",
                           VLOOKUP(O$2,'TIS Site Config'!$A$3:$AQ$51,6,FALSE)="Extreme Heated"),
                   VALUE(RIGHT($C110,2)) = VLOOKUP(O$2,'TIS Site Config'!$A$3:$AQ$51,36,FALSE),
                    VLOOKUP(O$2,'Tower configuration'!$A$3:$BN$51,66,FALSE)&lt;&gt;1),
        1,0)</f>
        <v>0</v>
      </c>
      <c r="P111" s="309">
        <f>IF(AND(OR(VLOOKUP(P$2,'TIS Site Config'!$A$3:$AQ$51,6,FALSE)="Heated",
                           VLOOKUP(P$2,'TIS Site Config'!$A$3:$AQ$51,6,FALSE)="Extreme Heated"),
                   VALUE(RIGHT($C110,2)) = VLOOKUP(P$2,'TIS Site Config'!$A$3:$AQ$51,36,FALSE),
                    VLOOKUP(P$2,'Tower configuration'!$A$3:$BN$51,66,FALSE)&lt;&gt;1),
        1,0)</f>
        <v>0</v>
      </c>
      <c r="Q111" s="212">
        <f>IF(AND(OR(VLOOKUP(Q$2,'TIS Site Config'!$A$3:$AQ$51,6,FALSE)="Heated",
                           VLOOKUP(Q$2,'TIS Site Config'!$A$3:$AQ$51,6,FALSE)="Extreme Heated"),
                   VALUE(RIGHT($C110,2)) = VLOOKUP(Q$2,'TIS Site Config'!$A$3:$AQ$51,36,FALSE),
                    VLOOKUP(Q$2,'Tower configuration'!$A$3:$BN$51,66,FALSE)&lt;&gt;1),
        1,0)</f>
        <v>1</v>
      </c>
      <c r="R111" s="134">
        <f>IF(AND(OR(VLOOKUP(R$2,'TIS Site Config'!$A$3:$AQ$51,6,FALSE)="Heated",
                           VLOOKUP(R$2,'TIS Site Config'!$A$3:$AQ$51,6,FALSE)="Extreme Heated"),
                   VALUE(RIGHT($C110,2)) = VLOOKUP(R$2,'TIS Site Config'!$A$3:$AQ$51,36,FALSE),
                    VLOOKUP(R$2,'Tower configuration'!$A$3:$BN$51,66,FALSE)&lt;&gt;1),
        1,0)</f>
        <v>0</v>
      </c>
      <c r="S111" s="309">
        <f>IF(AND(OR(VLOOKUP(S$2,'TIS Site Config'!$A$3:$AQ$51,6,FALSE)="Heated",
                           VLOOKUP(S$2,'TIS Site Config'!$A$3:$AQ$51,6,FALSE)="Extreme Heated"),
                   VALUE(RIGHT($C110,2)) = VLOOKUP(S$2,'TIS Site Config'!$A$3:$AQ$51,36,FALSE),
                    VLOOKUP(S$2,'Tower configuration'!$A$3:$BN$51,66,FALSE)&lt;&gt;1),
        1,0)</f>
        <v>0</v>
      </c>
      <c r="T111" s="212">
        <f>IF(AND(OR(VLOOKUP(T$2,'TIS Site Config'!$A$3:$AQ$51,6,FALSE)="Heated",
                           VLOOKUP(T$2,'TIS Site Config'!$A$3:$AQ$51,6,FALSE)="Extreme Heated"),
                   VALUE(RIGHT($C110,2)) = VLOOKUP(T$2,'TIS Site Config'!$A$3:$AQ$51,36,FALSE),
                    VLOOKUP(T$2,'Tower configuration'!$A$3:$BN$51,66,FALSE)&lt;&gt;1),
        1,0)</f>
        <v>0</v>
      </c>
      <c r="U111" s="134">
        <f>IF(AND(OR(VLOOKUP(U$2,'TIS Site Config'!$A$3:$AQ$51,6,FALSE)="Heated",
                           VLOOKUP(U$2,'TIS Site Config'!$A$3:$AQ$51,6,FALSE)="Extreme Heated"),
                   VALUE(RIGHT($C110,2)) = VLOOKUP(U$2,'TIS Site Config'!$A$3:$AQ$51,36,FALSE),
                    VLOOKUP(U$2,'Tower configuration'!$A$3:$BN$51,66,FALSE)&lt;&gt;1),
        1,0)</f>
        <v>0</v>
      </c>
      <c r="V111" s="212">
        <f>IF(AND(OR(VLOOKUP(V$2,'TIS Site Config'!$A$3:$AQ$51,6,FALSE)="Heated",
                           VLOOKUP(V$2,'TIS Site Config'!$A$3:$AQ$51,6,FALSE)="Extreme Heated"),
                   VALUE(RIGHT($C110,2)) = VLOOKUP(V$2,'TIS Site Config'!$A$3:$AQ$51,36,FALSE),
                    VLOOKUP(V$2,'Tower configuration'!$A$3:$BN$51,66,FALSE)&lt;&gt;1),
        1,0)</f>
        <v>0</v>
      </c>
      <c r="W111" s="214">
        <f>IF(AND(OR(VLOOKUP(W$2,'TIS Site Config'!$A$3:$AQ$51,6,FALSE)="Heated",
                           VLOOKUP(W$2,'TIS Site Config'!$A$3:$AQ$51,6,FALSE)="Extreme Heated"),
                   VALUE(RIGHT($C110,2)) = VLOOKUP(W$2,'TIS Site Config'!$A$3:$AQ$51,36,FALSE),
                    VLOOKUP(W$2,'Tower configuration'!$A$3:$BN$51,66,FALSE)&lt;&gt;1),
        1,0)</f>
        <v>0</v>
      </c>
      <c r="X111" s="309">
        <f>IF(AND(OR(VLOOKUP(X$2,'TIS Site Config'!$A$3:$AQ$51,6,FALSE)="Heated",
                           VLOOKUP(X$2,'TIS Site Config'!$A$3:$AQ$51,6,FALSE)="Extreme Heated"),
                   VALUE(RIGHT($C110,2)) = VLOOKUP(X$2,'TIS Site Config'!$A$3:$AQ$51,36,FALSE),
                    VLOOKUP(X$2,'Tower configuration'!$A$3:$BN$51,66,FALSE)&lt;&gt;1),
        1,0)</f>
        <v>1</v>
      </c>
      <c r="Y111" s="212">
        <f>IF(AND(OR(VLOOKUP(Y$2,'TIS Site Config'!$A$3:$AQ$51,6,FALSE)="Heated",
                           VLOOKUP(Y$2,'TIS Site Config'!$A$3:$AQ$51,6,FALSE)="Extreme Heated"),
                   VALUE(RIGHT($C110,2)) = VLOOKUP(Y$2,'TIS Site Config'!$A$3:$AQ$51,36,FALSE),
                    VLOOKUP(Y$2,'Tower configuration'!$A$3:$BN$51,66,FALSE)&lt;&gt;1),
        1,0)</f>
        <v>1</v>
      </c>
      <c r="Z111" s="134">
        <f>IF(AND(OR(VLOOKUP(Z$2,'TIS Site Config'!$A$3:$AQ$51,6,FALSE)="Heated",
                           VLOOKUP(Z$2,'TIS Site Config'!$A$3:$AQ$51,6,FALSE)="Extreme Heated"),
                   VALUE(RIGHT($C110,2)) = VLOOKUP(Z$2,'TIS Site Config'!$A$3:$AQ$51,36,FALSE),
                    VLOOKUP(Z$2,'Tower configuration'!$A$3:$BN$51,66,FALSE)&lt;&gt;1),
        1,0)</f>
        <v>1</v>
      </c>
      <c r="AA111" s="309">
        <f>IF(AND(OR(VLOOKUP(AA$2,'TIS Site Config'!$A$3:$AQ$51,6,FALSE)="Heated",
                           VLOOKUP(AA$2,'TIS Site Config'!$A$3:$AQ$51,6,FALSE)="Extreme Heated"),
                   VALUE(RIGHT($C110,2)) = VLOOKUP(AA$2,'TIS Site Config'!$A$3:$AQ$51,36,FALSE),
                    VLOOKUP(AA$2,'Tower configuration'!$A$3:$BN$51,66,FALSE)&lt;&gt;1),
        1,0)</f>
        <v>1</v>
      </c>
      <c r="AB111" s="212">
        <f>IF(AND(OR(VLOOKUP(AB$2,'TIS Site Config'!$A$3:$AQ$51,6,FALSE)="Heated",
                           VLOOKUP(AB$2,'TIS Site Config'!$A$3:$AQ$51,6,FALSE)="Extreme Heated"),
                   VALUE(RIGHT($C110,2)) = VLOOKUP(AB$2,'TIS Site Config'!$A$3:$AQ$51,36,FALSE),
                    VLOOKUP(AB$2,'Tower configuration'!$A$3:$BN$51,66,FALSE)&lt;&gt;1),
        1,0)</f>
        <v>1</v>
      </c>
      <c r="AC111" s="309">
        <f>IF(AND(OR(VLOOKUP(AC$2,'TIS Site Config'!$A$3:$AQ$51,6,FALSE)="Heated",
                           VLOOKUP(AC$2,'TIS Site Config'!$A$3:$AQ$51,6,FALSE)="Extreme Heated"),
                   VALUE(RIGHT($C110,2)) = VLOOKUP(AC$2,'TIS Site Config'!$A$3:$AQ$51,36,FALSE),
                    VLOOKUP(AC$2,'Tower configuration'!$A$3:$BN$51,66,FALSE)&lt;&gt;1),
        1,0)</f>
        <v>0</v>
      </c>
      <c r="AD111" s="213">
        <f>IF(AND(OR(VLOOKUP(AD$2,'TIS Site Config'!$A$3:$AQ$51,6,FALSE)="Heated",
                           VLOOKUP(AD$2,'TIS Site Config'!$A$3:$AQ$51,6,FALSE)="Extreme Heated"),
                   VALUE(RIGHT($C110,2)) = VLOOKUP(AD$2,'TIS Site Config'!$A$3:$AQ$51,36,FALSE),
                    VLOOKUP(AD$2,'Tower configuration'!$A$3:$BN$51,66,FALSE)&lt;&gt;1),
        1,0)</f>
        <v>0</v>
      </c>
      <c r="AE111" s="213">
        <f>IF(AND(OR(VLOOKUP(AE$2,'TIS Site Config'!$A$3:$AQ$51,6,FALSE)="Heated",
                           VLOOKUP(AE$2,'TIS Site Config'!$A$3:$AQ$51,6,FALSE)="Extreme Heated"),
                   VALUE(RIGHT($C110,2)) = VLOOKUP(AE$2,'TIS Site Config'!$A$3:$AQ$51,36,FALSE),
                    VLOOKUP(AE$2,'Tower configuration'!$A$3:$BN$51,66,FALSE)&lt;&gt;1),
        1,0)</f>
        <v>0</v>
      </c>
      <c r="AF111" s="39">
        <f>IF(AND(OR(VLOOKUP(AF$2,'TIS Site Config'!$A$3:$AQ$51,6,FALSE)="Heated",
                           VLOOKUP(AF$2,'TIS Site Config'!$A$3:$AQ$51,6,FALSE)="Extreme Heated"),
                   VALUE(RIGHT($C110,2)) = VLOOKUP(AF$2,'TIS Site Config'!$A$3:$AQ$51,36,FALSE),
                    VLOOKUP(AF$2,'Tower configuration'!$A$3:$BN$51,66,FALSE)&lt;&gt;1),
        1,0)</f>
        <v>0</v>
      </c>
      <c r="AG111" s="309">
        <f>IF(AND(OR(VLOOKUP(AG$2,'TIS Site Config'!$A$3:$AQ$51,6,FALSE)="Heated",
                           VLOOKUP(AG$2,'TIS Site Config'!$A$3:$AQ$51,6,FALSE)="Extreme Heated"),
                   VALUE(RIGHT($C110,2)) = VLOOKUP(AG$2,'TIS Site Config'!$A$3:$AQ$51,36,FALSE),
                    VLOOKUP(AG$2,'Tower configuration'!$A$3:$BN$51,66,FALSE)&lt;&gt;1),
        1,0)</f>
        <v>0</v>
      </c>
      <c r="AH111" s="212">
        <f>IF(AND(OR(VLOOKUP(AH$2,'TIS Site Config'!$A$3:$AQ$51,6,FALSE)="Heated",
                           VLOOKUP(AH$2,'TIS Site Config'!$A$3:$AQ$51,6,FALSE)="Extreme Heated"),
                   VALUE(RIGHT($C110,2)) = VLOOKUP(AH$2,'TIS Site Config'!$A$3:$AQ$51,36,FALSE),
                    VLOOKUP(AH$2,'Tower configuration'!$A$3:$BN$51,66,FALSE)&lt;&gt;1),
        1,0)</f>
        <v>0</v>
      </c>
      <c r="AI111" s="134">
        <f>IF(AND(OR(VLOOKUP(AI$2,'TIS Site Config'!$A$3:$AQ$51,6,FALSE)="Heated",
                           VLOOKUP(AI$2,'TIS Site Config'!$A$3:$AQ$51,6,FALSE)="Extreme Heated"),
                   VALUE(RIGHT($C110,2)) = VLOOKUP(AI$2,'TIS Site Config'!$A$3:$AQ$51,36,FALSE),
                    VLOOKUP(AI$2,'Tower configuration'!$A$3:$BN$51,66,FALSE)&lt;&gt;1),
        1,0)</f>
        <v>1</v>
      </c>
      <c r="AJ111" s="309">
        <f>IF(AND(OR(VLOOKUP(AJ$2,'TIS Site Config'!$A$3:$AQ$51,6,FALSE)="Heated",
                           VLOOKUP(AJ$2,'TIS Site Config'!$A$3:$AQ$51,6,FALSE)="Extreme Heated"),
                   VALUE(RIGHT($C110,2)) = VLOOKUP(AJ$2,'TIS Site Config'!$A$3:$AQ$51,36,FALSE),
                    VLOOKUP(AJ$2,'Tower configuration'!$A$3:$BN$51,66,FALSE)&lt;&gt;1),
        1,0)</f>
        <v>1</v>
      </c>
      <c r="AK111" s="212">
        <f>IF(AND(OR(VLOOKUP(AK$2,'TIS Site Config'!$A$3:$AQ$51,6,FALSE)="Heated",
                           VLOOKUP(AK$2,'TIS Site Config'!$A$3:$AQ$51,6,FALSE)="Extreme Heated"),
                   VALUE(RIGHT($C110,2)) = VLOOKUP(AK$2,'TIS Site Config'!$A$3:$AQ$51,36,FALSE),
                    VLOOKUP(AK$2,'Tower configuration'!$A$3:$BN$51,66,FALSE)&lt;&gt;1),
        1,0)</f>
        <v>1</v>
      </c>
      <c r="AL111" s="134">
        <f>IF(AND(OR(VLOOKUP(AL$2,'TIS Site Config'!$A$3:$AQ$51,6,FALSE)="Heated",
                           VLOOKUP(AL$2,'TIS Site Config'!$A$3:$AQ$51,6,FALSE)="Extreme Heated"),
                   VALUE(RIGHT($C110,2)) = VLOOKUP(AL$2,'TIS Site Config'!$A$3:$AQ$51,36,FALSE),
                    VLOOKUP(AL$2,'Tower configuration'!$A$3:$BN$51,66,FALSE)&lt;&gt;1),
        1,0)</f>
        <v>1</v>
      </c>
      <c r="AM111" s="309">
        <f>IF(AND(OR(VLOOKUP(AM$2,'TIS Site Config'!$A$3:$AQ$51,6,FALSE)="Heated",
                           VLOOKUP(AM$2,'TIS Site Config'!$A$3:$AQ$51,6,FALSE)="Extreme Heated"),
                   VALUE(RIGHT($C110,2)) = VLOOKUP(AM$2,'TIS Site Config'!$A$3:$AQ$51,36,FALSE),
                    VLOOKUP(AM$2,'Tower configuration'!$A$3:$BN$51,66,FALSE)&lt;&gt;1),
        1,0)</f>
        <v>1</v>
      </c>
      <c r="AN111" s="212">
        <f>IF(AND(OR(VLOOKUP(AN$2,'TIS Site Config'!$A$3:$AQ$51,6,FALSE)="Heated",
                           VLOOKUP(AN$2,'TIS Site Config'!$A$3:$AQ$51,6,FALSE)="Extreme Heated"),
                   VALUE(RIGHT($C110,2)) = VLOOKUP(AN$2,'TIS Site Config'!$A$3:$AQ$51,36,FALSE),
                    VLOOKUP(AN$2,'Tower configuration'!$A$3:$BN$51,66,FALSE)&lt;&gt;1),
        1,0)</f>
        <v>0</v>
      </c>
      <c r="AO111" s="134">
        <f>IF(AND(OR(VLOOKUP(AO$2,'TIS Site Config'!$A$3:$AQ$51,6,FALSE)="Heated",
                           VLOOKUP(AO$2,'TIS Site Config'!$A$3:$AQ$51,6,FALSE)="Extreme Heated"),
                   VALUE(RIGHT($C110,2)) = VLOOKUP(AO$2,'TIS Site Config'!$A$3:$AQ$51,36,FALSE),
                    VLOOKUP(AO$2,'Tower configuration'!$A$3:$BN$51,66,FALSE)&lt;&gt;1),
        1,0)</f>
        <v>1</v>
      </c>
      <c r="AP111" s="309">
        <f>IF(AND(OR(VLOOKUP(AP$2,'TIS Site Config'!$A$3:$AQ$51,6,FALSE)="Heated",
                           VLOOKUP(AP$2,'TIS Site Config'!$A$3:$AQ$51,6,FALSE)="Extreme Heated"),
                   VALUE(RIGHT($C110,2)) = VLOOKUP(AP$2,'TIS Site Config'!$A$3:$AQ$51,36,FALSE),
                    VLOOKUP(AP$2,'Tower configuration'!$A$3:$BN$51,66,FALSE)&lt;&gt;1),
        1,0)</f>
        <v>1</v>
      </c>
      <c r="AQ111" s="134">
        <f>IF(AND(OR(VLOOKUP(AQ$2,'TIS Site Config'!$A$3:$AQ$51,6,FALSE)="Heated",
                           VLOOKUP(AQ$2,'TIS Site Config'!$A$3:$AQ$51,6,FALSE)="Extreme Heated"),
                   VALUE(RIGHT($C110,2)) = VLOOKUP(AQ$2,'TIS Site Config'!$A$3:$AQ$51,36,FALSE),
                    VLOOKUP(AQ$2,'Tower configuration'!$A$3:$BN$51,66,FALSE)&lt;&gt;1),
        1,0)</f>
        <v>1</v>
      </c>
      <c r="AR111" s="134">
        <f>IF(AND(OR(VLOOKUP(AR$2,'TIS Site Config'!$A$3:$AQ$51,6,FALSE)="Heated",
                           VLOOKUP(AR$2,'TIS Site Config'!$A$3:$AQ$51,6,FALSE)="Extreme Heated"),
                   VALUE(RIGHT($C110,2)) = VLOOKUP(AR$2,'TIS Site Config'!$A$3:$AQ$51,36,FALSE),
                    VLOOKUP(AR$2,'Tower configuration'!$A$3:$BN$51,66,FALSE)&lt;&gt;1),
        1,0)</f>
        <v>1</v>
      </c>
      <c r="AS111" s="309">
        <f>IF(AND(OR(VLOOKUP(AS$2,'TIS Site Config'!$A$3:$AQ$51,6,FALSE)="Heated",
                           VLOOKUP(AS$2,'TIS Site Config'!$A$3:$AQ$51,6,FALSE)="Extreme Heated"),
                   VALUE(RIGHT($C110,2)) = VLOOKUP(AS$2,'TIS Site Config'!$A$3:$AQ$51,36,FALSE),
                    VLOOKUP(AS$2,'Tower configuration'!$A$3:$BN$51,66,FALSE)&lt;&gt;1),
        1,0)</f>
        <v>1</v>
      </c>
      <c r="AT111" s="134">
        <f>IF(AND(OR(VLOOKUP(AT$2,'TIS Site Config'!$A$3:$AQ$51,6,FALSE)="Heated",
                           VLOOKUP(AT$2,'TIS Site Config'!$A$3:$AQ$51,6,FALSE)="Extreme Heated"),
                   VALUE(RIGHT($C110,2)) = VLOOKUP(AT$2,'TIS Site Config'!$A$3:$AQ$51,36,FALSE),
                    VLOOKUP(AT$2,'Tower configuration'!$A$3:$BN$51,66,FALSE)&lt;&gt;1),
        1,0)</f>
        <v>0</v>
      </c>
      <c r="AU111" s="309">
        <f>IF(AND(OR(VLOOKUP(AU$2,'TIS Site Config'!$A$3:$AQ$51,6,FALSE)="Heated",
                           VLOOKUP(AU$2,'TIS Site Config'!$A$3:$AQ$51,6,FALSE)="Extreme Heated"),
                   VALUE(RIGHT($C110,2)) = VLOOKUP(AU$2,'TIS Site Config'!$A$3:$AQ$51,36,FALSE),
                    VLOOKUP(AU$2,'Tower configuration'!$A$3:$BN$51,66,FALSE)&lt;&gt;1),
        1,0)</f>
        <v>0</v>
      </c>
      <c r="AV111" s="134">
        <f>IF(AND(OR(VLOOKUP(AV$2,'TIS Site Config'!$A$3:$AQ$51,6,FALSE)="Heated",
                           VLOOKUP(AV$2,'TIS Site Config'!$A$3:$AQ$51,6,FALSE)="Extreme Heated"),
                   VALUE(RIGHT($C110,2)) = VLOOKUP(AV$2,'TIS Site Config'!$A$3:$AQ$51,36,FALSE),
                    VLOOKUP(AV$2,'Tower configuration'!$A$3:$BN$51,66,FALSE)&lt;&gt;1),
        1,0)</f>
        <v>1</v>
      </c>
      <c r="AW111" s="134">
        <f>IF(AND(OR(VLOOKUP(AW$2,'TIS Site Config'!$A$3:$AQ$51,6,FALSE)="Heated",
                           VLOOKUP(AW$2,'TIS Site Config'!$A$3:$AQ$51,6,FALSE)="Extreme Heated"),
                   VALUE(RIGHT($C110,2)) = VLOOKUP(AW$2,'TIS Site Config'!$A$3:$AQ$51,36,FALSE),
                    VLOOKUP(AW$2,'Tower configuration'!$A$3:$BN$51,66,FALSE)&lt;&gt;1),
        1,0)</f>
        <v>0</v>
      </c>
      <c r="AX111" s="212">
        <f>IF(AND(OR(VLOOKUP(AX$2,'TIS Site Config'!$A$3:$AQ$51,6,FALSE)="Heated",
                           VLOOKUP(AX$2,'TIS Site Config'!$A$3:$AQ$51,6,FALSE)="Extreme Heated"),
                   VALUE(RIGHT($C110,2)) = VLOOKUP(AX$2,'TIS Site Config'!$A$3:$AQ$51,36,FALSE),
                    VLOOKUP(AX$2,'Tower configuration'!$A$3:$BN$51,66,FALSE)&lt;&gt;1),
        1,0)</f>
        <v>0</v>
      </c>
      <c r="AY111" s="134">
        <f>IF(AND(OR(VLOOKUP(AY$2,'TIS Site Config'!$A$3:$AQ$51,6,FALSE)="Heated",
                           VLOOKUP(AY$2,'TIS Site Config'!$A$3:$AQ$51,6,FALSE)="Extreme Heated"),
                   VALUE(RIGHT($C110,2)) = VLOOKUP(AY$2,'TIS Site Config'!$A$3:$AQ$51,36,FALSE),
                    VLOOKUP(AY$2,'Tower configuration'!$A$3:$BN$51,66,FALSE)&lt;&gt;1),
        1,0)</f>
        <v>1</v>
      </c>
      <c r="AZ111" s="309">
        <f>IF(AND(OR(VLOOKUP(AZ$2,'TIS Site Config'!$A$3:$AQ$51,6,FALSE)="Heated",
                           VLOOKUP(AZ$2,'TIS Site Config'!$A$3:$AQ$51,6,FALSE)="Extreme Heated"),
                   VALUE(RIGHT($C110,2)) = VLOOKUP(AZ$2,'TIS Site Config'!$A$3:$AQ$51,36,FALSE),
                    VLOOKUP(AZ$2,'Tower configuration'!$A$3:$BN$51,66,FALSE)&lt;&gt;1),
        1,0)</f>
        <v>0</v>
      </c>
      <c r="BA111" s="213">
        <f>IF(AND(OR(VLOOKUP(BA$2,'TIS Site Config'!$A$3:$AQ$51,6,FALSE)="Heated",
                           VLOOKUP(BA$2,'TIS Site Config'!$A$3:$AQ$51,6,FALSE)="Extreme Heated"),
                   VALUE(RIGHT($C110,2)) = VLOOKUP(BA$2,'TIS Site Config'!$A$3:$AQ$51,36,FALSE),
                    VLOOKUP(BA$2,'Tower configuration'!$A$3:$BN$51,66,FALSE)&lt;&gt;1),
        1,0)</f>
        <v>1</v>
      </c>
      <c r="BB111" s="134">
        <f>IF(AND(OR(VLOOKUP(BB$2,'TIS Site Config'!$A$3:$AQ$51,6,FALSE)="Heated",
                           VLOOKUP(BB$2,'TIS Site Config'!$A$3:$AQ$51,6,FALSE)="Extreme Heated"),
                   VALUE(RIGHT($C110,2)) = VLOOKUP(BB$2,'TIS Site Config'!$A$3:$AQ$51,36,FALSE),
                    VLOOKUP(BB$2,'Tower configuration'!$A$3:$BN$51,66,FALSE)&lt;&gt;1),
        1,0)</f>
        <v>1</v>
      </c>
      <c r="BC111" s="212">
        <f>IF(AND(OR(VLOOKUP(BC$2,'TIS Site Config'!$A$3:$AQ$51,6,FALSE)="Heated",
                           VLOOKUP(BC$2,'TIS Site Config'!$A$3:$AQ$51,6,FALSE)="Extreme Heated"),
                   VALUE(RIGHT($C110,2)) = VLOOKUP(BC$2,'TIS Site Config'!$A$3:$AQ$51,36,FALSE),
                    VLOOKUP(BC$2,'Tower configuration'!$A$3:$BN$51,66,FALSE)&lt;&gt;1),
        1,0)</f>
        <v>1</v>
      </c>
      <c r="BD111" s="134">
        <f>IF(AND(OR(VLOOKUP(BD$2,'TIS Site Config'!$A$3:$AQ$51,6,FALSE)="Heated",
                           VLOOKUP(BD$2,'TIS Site Config'!$A$3:$AQ$51,6,FALSE)="Extreme Heated"),
                   VALUE(RIGHT($C110,2)) = VLOOKUP(BD$2,'TIS Site Config'!$A$3:$AQ$51,36,FALSE),
                    VLOOKUP(BD$2,'Tower configuration'!$A$3:$BN$51,66,FALSE)&lt;&gt;1),
        1,0)</f>
        <v>1</v>
      </c>
      <c r="BE111" s="309">
        <f>IF(AND(OR(VLOOKUP(BE$2,'TIS Site Config'!$A$3:$AQ$51,6,FALSE)="Heated",
                           VLOOKUP(BE$2,'TIS Site Config'!$A$3:$AQ$51,6,FALSE)="Extreme Heated"),
                   VALUE(RIGHT($C110,2)) = VLOOKUP(BE$2,'TIS Site Config'!$A$3:$AQ$51,36,FALSE),
                    VLOOKUP(BE$2,'Tower configuration'!$A$3:$BN$51,66,FALSE)&lt;&gt;1),
        1,0)</f>
        <v>1</v>
      </c>
      <c r="BF111" s="212">
        <f>IF(AND(OR(VLOOKUP(BF$2,'TIS Site Config'!$A$3:$AQ$51,6,FALSE)="Heated",
                           VLOOKUP(BF$2,'TIS Site Config'!$A$3:$AQ$51,6,FALSE)="Extreme Heated"),
                   VALUE(RIGHT($C110,2)) = VLOOKUP(BF$2,'TIS Site Config'!$A$3:$AQ$51,36,FALSE),
                    VLOOKUP(BF$2,'Tower configuration'!$A$3:$BN$51,66,FALSE)&lt;&gt;1),
        1,0)</f>
        <v>1</v>
      </c>
      <c r="BG111" s="60">
        <f>IF(AND(OR(VLOOKUP(BG$2,'TIS Site Config'!$A$3:$AQ$51,6,FALSE)="Heated",
                           VLOOKUP(BG$2,'TIS Site Config'!$A$3:$AQ$51,6,FALSE)="Extreme Heated"),
                   VALUE(RIGHT($C110,2)) = VLOOKUP(BG$2,'TIS Site Config'!$A$3:$AQ$51,36,FALSE),
                    VLOOKUP(BG$2,'Tower configuration'!$A$3:$BN$51,66,FALSE)&lt;&gt;1),
        1,0)</f>
        <v>0</v>
      </c>
      <c r="BH111" s="60">
        <f>IF(AND(OR(VLOOKUP(BH$2,'TIS Site Config'!$A$3:$AQ$51,6,FALSE)="Heated",
                           VLOOKUP(BH$2,'TIS Site Config'!$A$3:$AQ$51,6,FALSE)="Extreme Heated"),
                   VALUE(RIGHT($C110,2)) = VLOOKUP(BH$2,'TIS Site Config'!$A$3:$AQ$51,36,FALSE),
                    VLOOKUP(BH$2,'Tower configuration'!$A$3:$BN$51,66,FALSE)&lt;&gt;1),
        1,0)</f>
        <v>1</v>
      </c>
    </row>
    <row r="112" spans="1:67" s="437" customFormat="1" x14ac:dyDescent="0.25">
      <c r="A112" s="1366"/>
      <c r="B112" s="1374"/>
      <c r="C112" s="69" t="s">
        <v>535</v>
      </c>
      <c r="D112" s="90">
        <v>3</v>
      </c>
      <c r="E112" s="85" t="s">
        <v>551</v>
      </c>
      <c r="F112" s="60">
        <f t="shared" si="5"/>
        <v>34</v>
      </c>
      <c r="G112" s="459"/>
      <c r="H112" s="460"/>
      <c r="I112" s="460"/>
      <c r="J112" s="460"/>
      <c r="K112" s="461"/>
      <c r="L112" s="494"/>
      <c r="M112" s="134">
        <f xml:space="preserve"> IF(VLOOKUP(M$2,'TIS Site Config'!$A$4:$AQ$51,3,FALSE)&lt;&gt;"Soft",
          IF(AND(VLOOKUP(M$2,'TIS Site Config'!$A$3:$AQ$51,6,FALSE)="Non-heated",
                    VALUE(RIGHT($C112,2)) = VLOOKUP(M$2,'TIS Site Config'!$A$3:$AQ$51,36,FALSE)),
             VLOOKUP(M$2,'TIS Site Config'!$A$3:$AQ$51,17,FALSE)-2,0),0)</f>
        <v>0</v>
      </c>
      <c r="N112" s="212">
        <f xml:space="preserve"> IF(VLOOKUP(N$2,'TIS Site Config'!$A$4:$AQ$51,3,FALSE)&lt;&gt;"Soft",
          IF(AND(VLOOKUP(N$2,'TIS Site Config'!$A$3:$AQ$51,6,FALSE)="Non-heated",
                    VALUE(RIGHT($C112,2)) = VLOOKUP(N$2,'TIS Site Config'!$A$3:$AQ$51,36,FALSE)),
             VLOOKUP(N$2,'TIS Site Config'!$A$3:$AQ$51,17,FALSE)-2,0),0)</f>
        <v>0</v>
      </c>
      <c r="O112" s="215">
        <f xml:space="preserve"> IF(VLOOKUP(O$2,'TIS Site Config'!$A$4:$AQ$51,3,FALSE)&lt;&gt;"Soft",
          IF(AND(VLOOKUP(O$2,'TIS Site Config'!$A$3:$AQ$51,6,FALSE)="Non-heated",
                    VALUE(RIGHT($C112,2)) = VLOOKUP(O$2,'TIS Site Config'!$A$3:$AQ$51,36,FALSE)),
             VLOOKUP(O$2,'TIS Site Config'!$A$3:$AQ$51,17,FALSE)-2,0),0)</f>
        <v>0</v>
      </c>
      <c r="P112" s="309">
        <f xml:space="preserve"> IF(VLOOKUP(P$2,'TIS Site Config'!$A$4:$AQ$51,3,FALSE)&lt;&gt;"Soft",
          IF(AND(VLOOKUP(P$2,'TIS Site Config'!$A$3:$AQ$51,6,FALSE)="Non-heated",
                    VALUE(RIGHT($C112,2)) = VLOOKUP(P$2,'TIS Site Config'!$A$3:$AQ$51,36,FALSE)),
             VLOOKUP(P$2,'TIS Site Config'!$A$3:$AQ$51,17,FALSE)-2,0),0)</f>
        <v>0</v>
      </c>
      <c r="Q112" s="212">
        <f xml:space="preserve"> IF(VLOOKUP(Q$2,'TIS Site Config'!$A$4:$AQ$51,3,FALSE)&lt;&gt;"Soft",
          IF(AND(VLOOKUP(Q$2,'TIS Site Config'!$A$3:$AQ$51,6,FALSE)="Non-heated",
                    VALUE(RIGHT($C112,2)) = VLOOKUP(Q$2,'TIS Site Config'!$A$3:$AQ$51,36,FALSE)),
             VLOOKUP(Q$2,'TIS Site Config'!$A$3:$AQ$51,17,FALSE)-2,0),0)</f>
        <v>0</v>
      </c>
      <c r="R112" s="134">
        <f xml:space="preserve"> IF(VLOOKUP(R$2,'TIS Site Config'!$A$4:$AQ$51,3,FALSE)&lt;&gt;"Soft",
          IF(AND(VLOOKUP(R$2,'TIS Site Config'!$A$3:$AQ$51,6,FALSE)="Non-heated",
                    VALUE(RIGHT($C112,2)) = VLOOKUP(R$2,'TIS Site Config'!$A$3:$AQ$51,36,FALSE)),
             VLOOKUP(R$2,'TIS Site Config'!$A$3:$AQ$51,17,FALSE)-2,0),0)</f>
        <v>4</v>
      </c>
      <c r="S112" s="309">
        <f xml:space="preserve"> IF(VLOOKUP(S$2,'TIS Site Config'!$A$4:$AQ$51,3,FALSE)&lt;&gt;"Soft",
          IF(AND(VLOOKUP(S$2,'TIS Site Config'!$A$3:$AQ$51,6,FALSE)="Non-heated",
                    VALUE(RIGHT($C112,2)) = VLOOKUP(S$2,'TIS Site Config'!$A$3:$AQ$51,36,FALSE)),
             VLOOKUP(S$2,'TIS Site Config'!$A$3:$AQ$51,17,FALSE)-2,0),0)</f>
        <v>2</v>
      </c>
      <c r="T112" s="212">
        <f xml:space="preserve"> IF(VLOOKUP(T$2,'TIS Site Config'!$A$4:$AQ$51,3,FALSE)&lt;&gt;"Soft",
          IF(AND(VLOOKUP(T$2,'TIS Site Config'!$A$3:$AQ$51,6,FALSE)="Non-heated",
                    VALUE(RIGHT($C112,2)) = VLOOKUP(T$2,'TIS Site Config'!$A$3:$AQ$51,36,FALSE)),
             VLOOKUP(T$2,'TIS Site Config'!$A$3:$AQ$51,17,FALSE)-2,0),0)</f>
        <v>4</v>
      </c>
      <c r="U112" s="134">
        <f xml:space="preserve"> IF(VLOOKUP(U$2,'TIS Site Config'!$A$4:$AQ$51,3,FALSE)&lt;&gt;"Soft",
          IF(AND(VLOOKUP(U$2,'TIS Site Config'!$A$3:$AQ$51,6,FALSE)="Non-heated",
                    VALUE(RIGHT($C112,2)) = VLOOKUP(U$2,'TIS Site Config'!$A$3:$AQ$51,36,FALSE)),
             VLOOKUP(U$2,'TIS Site Config'!$A$3:$AQ$51,17,FALSE)-2,0),0)</f>
        <v>3</v>
      </c>
      <c r="V112" s="212">
        <f xml:space="preserve"> IF(VLOOKUP(V$2,'TIS Site Config'!$A$4:$AQ$51,3,FALSE)&lt;&gt;"Soft",
          IF(AND(VLOOKUP(V$2,'TIS Site Config'!$A$3:$AQ$51,6,FALSE)="Non-heated",
                    VALUE(RIGHT($C112,2)) = VLOOKUP(V$2,'TIS Site Config'!$A$3:$AQ$51,36,FALSE)),
             VLOOKUP(V$2,'TIS Site Config'!$A$3:$AQ$51,17,FALSE)-2,0),0)</f>
        <v>2</v>
      </c>
      <c r="W112" s="214">
        <f xml:space="preserve"> IF(VLOOKUP(W$2,'TIS Site Config'!$A$4:$AQ$51,3,FALSE)&lt;&gt;"Soft",
          IF(AND(VLOOKUP(W$2,'TIS Site Config'!$A$3:$AQ$51,6,FALSE)="Non-heated",
                    VALUE(RIGHT($C112,2)) = VLOOKUP(W$2,'TIS Site Config'!$A$3:$AQ$51,36,FALSE)),
             VLOOKUP(W$2,'TIS Site Config'!$A$3:$AQ$51,17,FALSE)-2,0),0)</f>
        <v>0</v>
      </c>
      <c r="X112" s="309">
        <f xml:space="preserve"> IF(VLOOKUP(X$2,'TIS Site Config'!$A$4:$AQ$51,3,FALSE)&lt;&gt;"Soft",
          IF(AND(VLOOKUP(X$2,'TIS Site Config'!$A$3:$AQ$51,6,FALSE)="Non-heated",
                    VALUE(RIGHT($C112,2)) = VLOOKUP(X$2,'TIS Site Config'!$A$3:$AQ$51,36,FALSE)),
             VLOOKUP(X$2,'TIS Site Config'!$A$3:$AQ$51,17,FALSE)-2,0),0)</f>
        <v>0</v>
      </c>
      <c r="Y112" s="212">
        <f xml:space="preserve"> IF(VLOOKUP(Y$2,'TIS Site Config'!$A$4:$AQ$51,3,FALSE)&lt;&gt;"Soft",
          IF(AND(VLOOKUP(Y$2,'TIS Site Config'!$A$3:$AQ$51,6,FALSE)="Non-heated",
                    VALUE(RIGHT($C112,2)) = VLOOKUP(Y$2,'TIS Site Config'!$A$3:$AQ$51,36,FALSE)),
             VLOOKUP(Y$2,'TIS Site Config'!$A$3:$AQ$51,17,FALSE)-2,0),0)</f>
        <v>0</v>
      </c>
      <c r="Z112" s="134">
        <f xml:space="preserve"> IF(VLOOKUP(Z$2,'TIS Site Config'!$A$4:$AQ$51,3,FALSE)&lt;&gt;"Soft",
          IF(AND(VLOOKUP(Z$2,'TIS Site Config'!$A$3:$AQ$51,6,FALSE)="Non-heated",
                    VALUE(RIGHT($C112,2)) = VLOOKUP(Z$2,'TIS Site Config'!$A$3:$AQ$51,36,FALSE)),
             VLOOKUP(Z$2,'TIS Site Config'!$A$3:$AQ$51,17,FALSE)-2,0),0)</f>
        <v>0</v>
      </c>
      <c r="AA112" s="309">
        <f xml:space="preserve"> IF(VLOOKUP(AA$2,'TIS Site Config'!$A$4:$AQ$51,3,FALSE)&lt;&gt;"Soft",
          IF(AND(VLOOKUP(AA$2,'TIS Site Config'!$A$3:$AQ$51,6,FALSE)="Non-heated",
                    VALUE(RIGHT($C112,2)) = VLOOKUP(AA$2,'TIS Site Config'!$A$3:$AQ$51,36,FALSE)),
             VLOOKUP(AA$2,'TIS Site Config'!$A$3:$AQ$51,17,FALSE)-2,0),0)</f>
        <v>0</v>
      </c>
      <c r="AB112" s="212">
        <f xml:space="preserve"> IF(VLOOKUP(AB$2,'TIS Site Config'!$A$4:$AQ$51,3,FALSE)&lt;&gt;"Soft",
          IF(AND(VLOOKUP(AB$2,'TIS Site Config'!$A$3:$AQ$51,6,FALSE)="Non-heated",
                    VALUE(RIGHT($C112,2)) = VLOOKUP(AB$2,'TIS Site Config'!$A$3:$AQ$51,36,FALSE)),
             VLOOKUP(AB$2,'TIS Site Config'!$A$3:$AQ$51,17,FALSE)-2,0),0)</f>
        <v>0</v>
      </c>
      <c r="AC112" s="309">
        <f xml:space="preserve"> IF(VLOOKUP(AC$2,'TIS Site Config'!$A$4:$AQ$51,3,FALSE)&lt;&gt;"Soft",
          IF(AND(VLOOKUP(AC$2,'TIS Site Config'!$A$3:$AQ$51,6,FALSE)="Non-heated",
                    VALUE(RIGHT($C112,2)) = VLOOKUP(AC$2,'TIS Site Config'!$A$3:$AQ$51,36,FALSE)),
             VLOOKUP(AC$2,'TIS Site Config'!$A$3:$AQ$51,17,FALSE)-2,0),0)</f>
        <v>0</v>
      </c>
      <c r="AD112" s="213">
        <f xml:space="preserve"> IF(VLOOKUP(AD$2,'TIS Site Config'!$A$4:$AQ$51,3,FALSE)&lt;&gt;"Soft",
          IF(AND(VLOOKUP(AD$2,'TIS Site Config'!$A$3:$AQ$51,6,FALSE)="Non-heated",
                    VALUE(RIGHT($C112,2)) = VLOOKUP(AD$2,'TIS Site Config'!$A$3:$AQ$51,36,FALSE)),
             VLOOKUP(AD$2,'TIS Site Config'!$A$3:$AQ$51,17,FALSE)-2,0),0)</f>
        <v>0</v>
      </c>
      <c r="AE112" s="213">
        <f xml:space="preserve"> IF(VLOOKUP(AE$2,'TIS Site Config'!$A$4:$AQ$51,3,FALSE)&lt;&gt;"Soft",
          IF(AND(VLOOKUP(AE$2,'TIS Site Config'!$A$3:$AQ$51,6,FALSE)="Non-heated",
                    VALUE(RIGHT($C112,2)) = VLOOKUP(AE$2,'TIS Site Config'!$A$3:$AQ$51,36,FALSE)),
             VLOOKUP(AE$2,'TIS Site Config'!$A$3:$AQ$51,17,FALSE)-2,0),0)</f>
        <v>0</v>
      </c>
      <c r="AF112" s="39">
        <f xml:space="preserve"> IF(VLOOKUP(AF$2,'TIS Site Config'!$A$4:$AQ$51,3,FALSE)&lt;&gt;"Soft",
          IF(AND(VLOOKUP(AF$2,'TIS Site Config'!$A$3:$AQ$51,6,FALSE)="Non-heated",
                    VALUE(RIGHT($C112,2)) = VLOOKUP(AF$2,'TIS Site Config'!$A$3:$AQ$51,36,FALSE)),
             VLOOKUP(AF$2,'TIS Site Config'!$A$3:$AQ$51,17,FALSE)-2,0),0)</f>
        <v>3</v>
      </c>
      <c r="AG112" s="309">
        <f xml:space="preserve"> IF(VLOOKUP(AG$2,'TIS Site Config'!$A$4:$AQ$51,3,FALSE)&lt;&gt;"Soft",
          IF(AND(VLOOKUP(AG$2,'TIS Site Config'!$A$3:$AQ$51,6,FALSE)="Non-heated",
                    VALUE(RIGHT($C112,2)) = VLOOKUP(AG$2,'TIS Site Config'!$A$3:$AQ$51,36,FALSE)),
             VLOOKUP(AG$2,'TIS Site Config'!$A$3:$AQ$51,17,FALSE)-2,0),0)</f>
        <v>4</v>
      </c>
      <c r="AH112" s="212">
        <f xml:space="preserve"> IF(VLOOKUP(AH$2,'TIS Site Config'!$A$4:$AQ$51,3,FALSE)&lt;&gt;"Soft",
          IF(AND(VLOOKUP(AH$2,'TIS Site Config'!$A$3:$AQ$51,6,FALSE)="Non-heated",
                    VALUE(RIGHT($C112,2)) = VLOOKUP(AH$2,'TIS Site Config'!$A$3:$AQ$51,36,FALSE)),
             VLOOKUP(AH$2,'TIS Site Config'!$A$3:$AQ$51,17,FALSE)-2,0),0)</f>
        <v>4</v>
      </c>
      <c r="AI112" s="134">
        <f xml:space="preserve"> IF(VLOOKUP(AI$2,'TIS Site Config'!$A$4:$AQ$51,3,FALSE)&lt;&gt;"Soft",
          IF(AND(VLOOKUP(AI$2,'TIS Site Config'!$A$3:$AQ$51,6,FALSE)="Non-heated",
                    VALUE(RIGHT($C112,2)) = VLOOKUP(AI$2,'TIS Site Config'!$A$3:$AQ$51,36,FALSE)),
             VLOOKUP(AI$2,'TIS Site Config'!$A$3:$AQ$51,17,FALSE)-2,0),0)</f>
        <v>0</v>
      </c>
      <c r="AJ112" s="309">
        <f xml:space="preserve"> IF(VLOOKUP(AJ$2,'TIS Site Config'!$A$4:$AQ$51,3,FALSE)&lt;&gt;"Soft",
          IF(AND(VLOOKUP(AJ$2,'TIS Site Config'!$A$3:$AQ$51,6,FALSE)="Non-heated",
                    VALUE(RIGHT($C112,2)) = VLOOKUP(AJ$2,'TIS Site Config'!$A$3:$AQ$51,36,FALSE)),
             VLOOKUP(AJ$2,'TIS Site Config'!$A$3:$AQ$51,17,FALSE)-2,0),0)</f>
        <v>0</v>
      </c>
      <c r="AK112" s="212">
        <f xml:space="preserve"> IF(VLOOKUP(AK$2,'TIS Site Config'!$A$4:$AQ$51,3,FALSE)&lt;&gt;"Soft",
          IF(AND(VLOOKUP(AK$2,'TIS Site Config'!$A$3:$AQ$51,6,FALSE)="Non-heated",
                    VALUE(RIGHT($C112,2)) = VLOOKUP(AK$2,'TIS Site Config'!$A$3:$AQ$51,36,FALSE)),
             VLOOKUP(AK$2,'TIS Site Config'!$A$3:$AQ$51,17,FALSE)-2,0),0)</f>
        <v>0</v>
      </c>
      <c r="AL112" s="134">
        <f xml:space="preserve"> IF(VLOOKUP(AL$2,'TIS Site Config'!$A$4:$AQ$51,3,FALSE)&lt;&gt;"Soft",
          IF(AND(VLOOKUP(AL$2,'TIS Site Config'!$A$3:$AQ$51,6,FALSE)="Non-heated",
                    VALUE(RIGHT($C112,2)) = VLOOKUP(AL$2,'TIS Site Config'!$A$3:$AQ$51,36,FALSE)),
             VLOOKUP(AL$2,'TIS Site Config'!$A$3:$AQ$51,17,FALSE)-2,0),0)</f>
        <v>0</v>
      </c>
      <c r="AM112" s="309">
        <f xml:space="preserve"> IF(VLOOKUP(AM$2,'TIS Site Config'!$A$4:$AQ$51,3,FALSE)&lt;&gt;"Soft",
          IF(AND(VLOOKUP(AM$2,'TIS Site Config'!$A$3:$AQ$51,6,FALSE)="Non-heated",
                    VALUE(RIGHT($C112,2)) = VLOOKUP(AM$2,'TIS Site Config'!$A$3:$AQ$51,36,FALSE)),
             VLOOKUP(AM$2,'TIS Site Config'!$A$3:$AQ$51,17,FALSE)-2,0),0)</f>
        <v>0</v>
      </c>
      <c r="AN112" s="940">
        <f xml:space="preserve"> IF(VLOOKUP(AN$2,'TIS Site Config'!$A$4:$AQ$51,3,FALSE)&lt;&gt;"Soft",
          IF(AND(VLOOKUP(AN$2,'TIS Site Config'!$A$3:$AQ$51,6,FALSE)="Non-heated",
                    VALUE(RIGHT($C112,2)) = VLOOKUP(AN$2,'TIS Site Config'!$A$3:$AQ$51,36,FALSE)),
             VLOOKUP(AN$2,'TIS Site Config'!$A$3:$AQ$51,17,FALSE)-2,0),0)</f>
        <v>0</v>
      </c>
      <c r="AO112" s="134">
        <f xml:space="preserve"> IF(VLOOKUP(AO$2,'TIS Site Config'!$A$4:$AQ$51,3,FALSE)&lt;&gt;"Soft",
          IF(AND(VLOOKUP(AO$2,'TIS Site Config'!$A$3:$AQ$51,6,FALSE)="Non-heated",
                    VALUE(RIGHT($C112,2)) = VLOOKUP(AO$2,'TIS Site Config'!$A$3:$AQ$51,36,FALSE)),
             VLOOKUP(AO$2,'TIS Site Config'!$A$3:$AQ$51,17,FALSE)-2,0),0)</f>
        <v>0</v>
      </c>
      <c r="AP112" s="309">
        <f xml:space="preserve"> IF(VLOOKUP(AP$2,'TIS Site Config'!$A$4:$AQ$51,3,FALSE)&lt;&gt;"Soft",
          IF(AND(VLOOKUP(AP$2,'TIS Site Config'!$A$3:$AQ$51,6,FALSE)="Non-heated",
                    VALUE(RIGHT($C112,2)) = VLOOKUP(AP$2,'TIS Site Config'!$A$3:$AQ$51,36,FALSE)),
             VLOOKUP(AP$2,'TIS Site Config'!$A$3:$AQ$51,17,FALSE)-2,0),0)</f>
        <v>0</v>
      </c>
      <c r="AQ112" s="1007">
        <f xml:space="preserve"> IF(VLOOKUP(AQ$2,'TIS Site Config'!$A$4:$AQ$51,3,FALSE)&lt;&gt;"Soft",
          IF(AND(VLOOKUP(AQ$2,'TIS Site Config'!$A$3:$AQ$51,6,FALSE)="Non-heated",
                    VALUE(RIGHT($C112,2)) = VLOOKUP(AQ$2,'TIS Site Config'!$A$3:$AQ$51,36,FALSE)),
             VLOOKUP(AQ$2,'TIS Site Config'!$A$3:$AQ$51,17,FALSE)-2,0),0)</f>
        <v>0</v>
      </c>
      <c r="AR112" s="1007">
        <f xml:space="preserve"> IF(VLOOKUP(AR$2,'TIS Site Config'!$A$4:$AQ$51,3,FALSE)&lt;&gt;"Soft",
          IF(AND(VLOOKUP(AR$2,'TIS Site Config'!$A$3:$AQ$51,6,FALSE)="Non-heated",
                    VALUE(RIGHT($C112,2)) = VLOOKUP(AR$2,'TIS Site Config'!$A$3:$AQ$51,36,FALSE)),
             VLOOKUP(AR$2,'TIS Site Config'!$A$3:$AQ$51,17,FALSE)-2,0),0)</f>
        <v>0</v>
      </c>
      <c r="AS112" s="309">
        <f xml:space="preserve"> IF(VLOOKUP(AS$2,'TIS Site Config'!$A$4:$AQ$51,3,FALSE)&lt;&gt;"Soft",
          IF(AND(VLOOKUP(AS$2,'TIS Site Config'!$A$3:$AQ$51,6,FALSE)="Non-heated",
                    VALUE(RIGHT($C112,2)) = VLOOKUP(AS$2,'TIS Site Config'!$A$3:$AQ$51,36,FALSE)),
             VLOOKUP(AS$2,'TIS Site Config'!$A$3:$AQ$51,17,FALSE)-2,0),0)</f>
        <v>0</v>
      </c>
      <c r="AT112" s="134">
        <f xml:space="preserve"> IF(VLOOKUP(AT$2,'TIS Site Config'!$A$4:$AQ$51,3,FALSE)&lt;&gt;"Soft",
          IF(AND(VLOOKUP(AT$2,'TIS Site Config'!$A$3:$AQ$51,6,FALSE)="Non-heated",
                    VALUE(RIGHT($C112,2)) = VLOOKUP(AT$2,'TIS Site Config'!$A$3:$AQ$51,36,FALSE)),
             VLOOKUP(AT$2,'TIS Site Config'!$A$3:$AQ$51,17,FALSE)-2,0),0)</f>
        <v>2</v>
      </c>
      <c r="AU112" s="309">
        <f xml:space="preserve"> IF(VLOOKUP(AU$2,'TIS Site Config'!$A$4:$AQ$51,3,FALSE)&lt;&gt;"Soft",
          IF(AND(VLOOKUP(AU$2,'TIS Site Config'!$A$3:$AQ$51,6,FALSE)="Non-heated",
                    VALUE(RIGHT($C112,2)) = VLOOKUP(AU$2,'TIS Site Config'!$A$3:$AQ$51,36,FALSE)),
             VLOOKUP(AU$2,'TIS Site Config'!$A$3:$AQ$51,17,FALSE)-2,0),0)</f>
        <v>2</v>
      </c>
      <c r="AV112" s="134">
        <f xml:space="preserve"> IF(VLOOKUP(AV$2,'TIS Site Config'!$A$4:$AQ$51,3,FALSE)&lt;&gt;"Soft",
          IF(AND(VLOOKUP(AV$2,'TIS Site Config'!$A$3:$AQ$51,6,FALSE)="Non-heated",
                    VALUE(RIGHT($C112,2)) = VLOOKUP(AV$2,'TIS Site Config'!$A$3:$AQ$51,36,FALSE)),
             VLOOKUP(AV$2,'TIS Site Config'!$A$3:$AQ$51,17,FALSE)-2,0),0)</f>
        <v>0</v>
      </c>
      <c r="AW112" s="134">
        <f xml:space="preserve"> IF(VLOOKUP(AW$2,'TIS Site Config'!$A$4:$AQ$51,3,FALSE)&lt;&gt;"Soft",
          IF(AND(VLOOKUP(AW$2,'TIS Site Config'!$A$3:$AQ$51,6,FALSE)="Non-heated",
                    VALUE(RIGHT($C112,2)) = VLOOKUP(AW$2,'TIS Site Config'!$A$3:$AQ$51,36,FALSE)),
             VLOOKUP(AW$2,'TIS Site Config'!$A$3:$AQ$51,17,FALSE)-2,0),0)</f>
        <v>0</v>
      </c>
      <c r="AX112" s="212">
        <f xml:space="preserve"> IF(VLOOKUP(AX$2,'TIS Site Config'!$A$4:$AQ$51,3,FALSE)&lt;&gt;"Soft",
          IF(AND(VLOOKUP(AX$2,'TIS Site Config'!$A$3:$AQ$51,6,FALSE)="Non-heated",
                    VALUE(RIGHT($C112,2)) = VLOOKUP(AX$2,'TIS Site Config'!$A$3:$AQ$51,36,FALSE)),
             VLOOKUP(AX$2,'TIS Site Config'!$A$3:$AQ$51,17,FALSE)-2,0),0)</f>
        <v>0</v>
      </c>
      <c r="AY112" s="134">
        <f xml:space="preserve"> IF(VLOOKUP(AY$2,'TIS Site Config'!$A$4:$AQ$51,3,FALSE)&lt;&gt;"Soft",
          IF(AND(VLOOKUP(AY$2,'TIS Site Config'!$A$3:$AQ$51,6,FALSE)="Non-heated",
                    VALUE(RIGHT($C112,2)) = VLOOKUP(AY$2,'TIS Site Config'!$A$3:$AQ$51,36,FALSE)),
             VLOOKUP(AY$2,'TIS Site Config'!$A$3:$AQ$51,17,FALSE)-2,0),0)</f>
        <v>0</v>
      </c>
      <c r="AZ112" s="309">
        <f xml:space="preserve"> IF(VLOOKUP(AZ$2,'TIS Site Config'!$A$4:$AQ$51,3,FALSE)&lt;&gt;"Soft",
          IF(AND(VLOOKUP(AZ$2,'TIS Site Config'!$A$3:$AQ$51,6,FALSE)="Non-heated",
                    VALUE(RIGHT($C112,2)) = VLOOKUP(AZ$2,'TIS Site Config'!$A$3:$AQ$51,36,FALSE)),
             VLOOKUP(AZ$2,'TIS Site Config'!$A$3:$AQ$51,17,FALSE)-2,0),0)</f>
        <v>0</v>
      </c>
      <c r="BA112" s="988">
        <f xml:space="preserve"> IF(VLOOKUP(BA$2,'TIS Site Config'!$A$4:$AQ$51,3,FALSE)&lt;&gt;"Soft",
          IF(AND(VLOOKUP(BA$2,'TIS Site Config'!$A$3:$AQ$51,6,FALSE)="Non-heated",
                    VALUE(RIGHT($C112,2)) = VLOOKUP(BA$2,'TIS Site Config'!$A$3:$AQ$51,36,FALSE)),
             VLOOKUP(BA$2,'TIS Site Config'!$A$3:$AQ$51,17,FALSE)-2,0),0)</f>
        <v>0</v>
      </c>
      <c r="BB112" s="134">
        <f xml:space="preserve"> IF(VLOOKUP(BB$2,'TIS Site Config'!$A$4:$AQ$51,3,FALSE)&lt;&gt;"Soft",
          IF(AND(VLOOKUP(BB$2,'TIS Site Config'!$A$3:$AQ$51,6,FALSE)="Non-heated",
                    VALUE(RIGHT($C112,2)) = VLOOKUP(BB$2,'TIS Site Config'!$A$3:$AQ$51,36,FALSE)),
             VLOOKUP(BB$2,'TIS Site Config'!$A$3:$AQ$51,17,FALSE)-2,0),0)</f>
        <v>0</v>
      </c>
      <c r="BC112" s="212">
        <f xml:space="preserve"> IF(VLOOKUP(BC$2,'TIS Site Config'!$A$4:$AQ$51,3,FALSE)&lt;&gt;"Soft",
          IF(AND(VLOOKUP(BC$2,'TIS Site Config'!$A$3:$AQ$51,6,FALSE)="Non-heated",
                    VALUE(RIGHT($C112,2)) = VLOOKUP(BC$2,'TIS Site Config'!$A$3:$AQ$51,36,FALSE)),
             VLOOKUP(BC$2,'TIS Site Config'!$A$3:$AQ$51,17,FALSE)-2,0),0)</f>
        <v>0</v>
      </c>
      <c r="BD112" s="134">
        <f xml:space="preserve"> IF(VLOOKUP(BD$2,'TIS Site Config'!$A$4:$AQ$51,3,FALSE)&lt;&gt;"Soft",
          IF(AND(VLOOKUP(BD$2,'TIS Site Config'!$A$3:$AQ$51,6,FALSE)="Non-heated",
                    VALUE(RIGHT($C112,2)) = VLOOKUP(BD$2,'TIS Site Config'!$A$3:$AQ$51,36,FALSE)),
             VLOOKUP(BD$2,'TIS Site Config'!$A$3:$AQ$51,17,FALSE)-2,0),0)</f>
        <v>0</v>
      </c>
      <c r="BE112" s="309">
        <f xml:space="preserve"> IF(VLOOKUP(BE$2,'TIS Site Config'!$A$4:$AQ$51,3,FALSE)&lt;&gt;"Soft",
          IF(AND(VLOOKUP(BE$2,'TIS Site Config'!$A$3:$AQ$51,6,FALSE)="Non-heated",
                    VALUE(RIGHT($C112,2)) = VLOOKUP(BE$2,'TIS Site Config'!$A$3:$AQ$51,36,FALSE)),
             VLOOKUP(BE$2,'TIS Site Config'!$A$3:$AQ$51,17,FALSE)-2,0),0)</f>
        <v>0</v>
      </c>
      <c r="BF112" s="212">
        <f xml:space="preserve"> IF(VLOOKUP(BF$2,'TIS Site Config'!$A$4:$AQ$51,3,FALSE)&lt;&gt;"Soft",
          IF(AND(VLOOKUP(BF$2,'TIS Site Config'!$A$3:$AQ$51,6,FALSE)="Non-heated",
                    VALUE(RIGHT($C112,2)) = VLOOKUP(BF$2,'TIS Site Config'!$A$3:$AQ$51,36,FALSE)),
             VLOOKUP(BF$2,'TIS Site Config'!$A$3:$AQ$51,17,FALSE)-2,0),0)</f>
        <v>0</v>
      </c>
      <c r="BG112" s="60">
        <f xml:space="preserve"> IF(VLOOKUP(BG$2,'TIS Site Config'!$A$4:$AQ$51,3,FALSE)&lt;&gt;"Soft",
          IF(AND(VLOOKUP(BG$2,'TIS Site Config'!$A$3:$AQ$51,6,FALSE)="Non-heated",
                    VALUE(RIGHT($C112,2)) = VLOOKUP(BG$2,'TIS Site Config'!$A$3:$AQ$51,36,FALSE)),
             VLOOKUP(BG$2,'TIS Site Config'!$A$3:$AQ$51,17,FALSE)-2,0),0)</f>
        <v>4</v>
      </c>
      <c r="BH112" s="60">
        <f xml:space="preserve"> IF(VLOOKUP(BH$2,'TIS Site Config'!$A$4:$AQ$51,3,FALSE)&lt;&gt;"Soft",
          IF(AND(VLOOKUP(BH$2,'TIS Site Config'!$A$3:$AQ$51,6,FALSE)="Non-heated",
                    VALUE(RIGHT($C112,2)) = VLOOKUP(BH$2,'TIS Site Config'!$A$3:$AQ$51,36,FALSE)),
             VLOOKUP(BH$2,'TIS Site Config'!$A$3:$AQ$51,17,FALSE)-2,0),0)</f>
        <v>0</v>
      </c>
      <c r="BI112" s="437" t="s">
        <v>971</v>
      </c>
      <c r="BK112" s="437">
        <v>42</v>
      </c>
      <c r="BL112" s="950" t="b">
        <f t="shared" ref="BL112:BL133" si="9">F112=BK112</f>
        <v>0</v>
      </c>
      <c r="BO112" s="950"/>
    </row>
    <row r="113" spans="1:67" s="44" customFormat="1" x14ac:dyDescent="0.25">
      <c r="A113" s="1366"/>
      <c r="B113" s="1374"/>
      <c r="C113" s="69" t="s">
        <v>885</v>
      </c>
      <c r="D113" s="90">
        <v>4</v>
      </c>
      <c r="E113" s="84" t="s">
        <v>888</v>
      </c>
      <c r="F113" s="60">
        <f t="shared" si="5"/>
        <v>112</v>
      </c>
      <c r="G113" s="462"/>
      <c r="H113" s="463"/>
      <c r="I113" s="463"/>
      <c r="J113" s="463"/>
      <c r="K113" s="464"/>
      <c r="L113" s="495"/>
      <c r="M113" s="134">
        <f>IF(VLOOKUP(M$2,'TIS Site Config'!$A$4:$AQ$51,3,FALSE)&lt;&gt;"Soft",
         IF(AND(OR(VLOOKUP(M$2,'TIS Site Config'!$A$3:$AQ$51,6,FALSE)="Heated",
                           VLOOKUP(M$2,'TIS Site Config'!$A$3:$AQ$51,6,FALSE)="Extreme Heated"),
                    VALUE(RIGHT($C113,2)) = VLOOKUP(M$2,'TIS Site Config'!$A$3:$AQ$51,36,FALSE)),
             VLOOKUP(M$2,'TIS Site Config'!$A$3:$AQ$51,17,FALSE)-2,0),0)</f>
        <v>4</v>
      </c>
      <c r="N113" s="212">
        <f>IF(VLOOKUP(N$2,'TIS Site Config'!$A$4:$AQ$51,3,FALSE)&lt;&gt;"Soft",
         IF(AND(OR(VLOOKUP(N$2,'TIS Site Config'!$A$3:$AQ$51,6,FALSE)="Heated",
                           VLOOKUP(N$2,'TIS Site Config'!$A$3:$AQ$51,6,FALSE)="Extreme Heated"),
                    VALUE(RIGHT($C113,2)) = VLOOKUP(N$2,'TIS Site Config'!$A$3:$AQ$51,36,FALSE)),
             VLOOKUP(N$2,'TIS Site Config'!$A$3:$AQ$51,17,FALSE)-2,0),0)</f>
        <v>4</v>
      </c>
      <c r="O113" s="215">
        <f>IF(VLOOKUP(O$2,'TIS Site Config'!$A$4:$AQ$51,3,FALSE)&lt;&gt;"Soft",
         IF(AND(OR(VLOOKUP(O$2,'TIS Site Config'!$A$3:$AQ$51,6,FALSE)="Heated",
                           VLOOKUP(O$2,'TIS Site Config'!$A$3:$AQ$51,6,FALSE)="Extreme Heated"),
                    VALUE(RIGHT($C113,2)) = VLOOKUP(O$2,'TIS Site Config'!$A$3:$AQ$51,36,FALSE)),
             VLOOKUP(O$2,'TIS Site Config'!$A$3:$AQ$51,17,FALSE)-2,0),0)</f>
        <v>4</v>
      </c>
      <c r="P113" s="309">
        <f>IF(VLOOKUP(P$2,'TIS Site Config'!$A$4:$AQ$51,3,FALSE)&lt;&gt;"Soft",
         IF(AND(OR(VLOOKUP(P$2,'TIS Site Config'!$A$3:$AQ$51,6,FALSE)="Heated",
                           VLOOKUP(P$2,'TIS Site Config'!$A$3:$AQ$51,6,FALSE)="Extreme Heated"),
                    VALUE(RIGHT($C113,2)) = VLOOKUP(P$2,'TIS Site Config'!$A$3:$AQ$51,36,FALSE)),
             VLOOKUP(P$2,'TIS Site Config'!$A$3:$AQ$51,17,FALSE)-2,0),0)</f>
        <v>4</v>
      </c>
      <c r="Q113" s="212">
        <f>IF(VLOOKUP(Q$2,'TIS Site Config'!$A$4:$AQ$51,3,FALSE)&lt;&gt;"Soft",
         IF(AND(OR(VLOOKUP(Q$2,'TIS Site Config'!$A$3:$AQ$51,6,FALSE)="Heated",
                           VLOOKUP(Q$2,'TIS Site Config'!$A$3:$AQ$51,6,FALSE)="Extreme Heated"),
                    VALUE(RIGHT($C113,2)) = VLOOKUP(Q$2,'TIS Site Config'!$A$3:$AQ$51,36,FALSE)),
             VLOOKUP(Q$2,'TIS Site Config'!$A$3:$AQ$51,17,FALSE)-2,0),0)</f>
        <v>2</v>
      </c>
      <c r="R113" s="134">
        <f>IF(VLOOKUP(R$2,'TIS Site Config'!$A$4:$AQ$51,3,FALSE)&lt;&gt;"Soft",
         IF(AND(OR(VLOOKUP(R$2,'TIS Site Config'!$A$3:$AQ$51,6,FALSE)="Heated",
                           VLOOKUP(R$2,'TIS Site Config'!$A$3:$AQ$51,6,FALSE)="Extreme Heated"),
                    VALUE(RIGHT($C113,2)) = VLOOKUP(R$2,'TIS Site Config'!$A$3:$AQ$51,36,FALSE)),
             VLOOKUP(R$2,'TIS Site Config'!$A$3:$AQ$51,17,FALSE)-2,0),0)</f>
        <v>0</v>
      </c>
      <c r="S113" s="309">
        <f>IF(VLOOKUP(S$2,'TIS Site Config'!$A$4:$AQ$51,3,FALSE)&lt;&gt;"Soft",
         IF(AND(OR(VLOOKUP(S$2,'TIS Site Config'!$A$3:$AQ$51,6,FALSE)="Heated",
                           VLOOKUP(S$2,'TIS Site Config'!$A$3:$AQ$51,6,FALSE)="Extreme Heated"),
                    VALUE(RIGHT($C113,2)) = VLOOKUP(S$2,'TIS Site Config'!$A$3:$AQ$51,36,FALSE)),
             VLOOKUP(S$2,'TIS Site Config'!$A$3:$AQ$51,17,FALSE)-2,0),0)</f>
        <v>0</v>
      </c>
      <c r="T113" s="212">
        <f>IF(VLOOKUP(T$2,'TIS Site Config'!$A$4:$AQ$51,3,FALSE)&lt;&gt;"Soft",
         IF(AND(OR(VLOOKUP(T$2,'TIS Site Config'!$A$3:$AQ$51,6,FALSE)="Heated",
                           VLOOKUP(T$2,'TIS Site Config'!$A$3:$AQ$51,6,FALSE)="Extreme Heated"),
                    VALUE(RIGHT($C113,2)) = VLOOKUP(T$2,'TIS Site Config'!$A$3:$AQ$51,36,FALSE)),
             VLOOKUP(T$2,'TIS Site Config'!$A$3:$AQ$51,17,FALSE)-2,0),0)</f>
        <v>0</v>
      </c>
      <c r="U113" s="134">
        <f>IF(VLOOKUP(U$2,'TIS Site Config'!$A$4:$AQ$51,3,FALSE)&lt;&gt;"Soft",
         IF(AND(OR(VLOOKUP(U$2,'TIS Site Config'!$A$3:$AQ$51,6,FALSE)="Heated",
                           VLOOKUP(U$2,'TIS Site Config'!$A$3:$AQ$51,6,FALSE)="Extreme Heated"),
                    VALUE(RIGHT($C113,2)) = VLOOKUP(U$2,'TIS Site Config'!$A$3:$AQ$51,36,FALSE)),
             VLOOKUP(U$2,'TIS Site Config'!$A$3:$AQ$51,17,FALSE)-2,0),0)</f>
        <v>0</v>
      </c>
      <c r="V113" s="212">
        <f>IF(VLOOKUP(V$2,'TIS Site Config'!$A$4:$AQ$51,3,FALSE)&lt;&gt;"Soft",
         IF(AND(OR(VLOOKUP(V$2,'TIS Site Config'!$A$3:$AQ$51,6,FALSE)="Heated",
                           VLOOKUP(V$2,'TIS Site Config'!$A$3:$AQ$51,6,FALSE)="Extreme Heated"),
                    VALUE(RIGHT($C113,2)) = VLOOKUP(V$2,'TIS Site Config'!$A$3:$AQ$51,36,FALSE)),
             VLOOKUP(V$2,'TIS Site Config'!$A$3:$AQ$51,17,FALSE)-2,0),0)</f>
        <v>0</v>
      </c>
      <c r="W113" s="214">
        <f>IF(VLOOKUP(W$2,'TIS Site Config'!$A$4:$AQ$51,3,FALSE)&lt;&gt;"Soft",
         IF(AND(OR(VLOOKUP(W$2,'TIS Site Config'!$A$3:$AQ$51,6,FALSE)="Heated",
                           VLOOKUP(W$2,'TIS Site Config'!$A$3:$AQ$51,6,FALSE)="Extreme Heated"),
                    VALUE(RIGHT($C113,2)) = VLOOKUP(W$2,'TIS Site Config'!$A$3:$AQ$51,36,FALSE)),
             VLOOKUP(W$2,'TIS Site Config'!$A$3:$AQ$51,17,FALSE)-2,0),0)</f>
        <v>4</v>
      </c>
      <c r="X113" s="309">
        <f>IF(VLOOKUP(X$2,'TIS Site Config'!$A$4:$AQ$51,3,FALSE)&lt;&gt;"Soft",
         IF(AND(OR(VLOOKUP(X$2,'TIS Site Config'!$A$3:$AQ$51,6,FALSE)="Heated",
                           VLOOKUP(X$2,'TIS Site Config'!$A$3:$AQ$51,6,FALSE)="Extreme Heated"),
                    VALUE(RIGHT($C113,2)) = VLOOKUP(X$2,'TIS Site Config'!$A$3:$AQ$51,36,FALSE)),
             VLOOKUP(X$2,'TIS Site Config'!$A$3:$AQ$51,17,FALSE)-2,0),0)</f>
        <v>4</v>
      </c>
      <c r="Y113" s="212">
        <f>IF(VLOOKUP(Y$2,'TIS Site Config'!$A$4:$AQ$51,3,FALSE)&lt;&gt;"Soft",
         IF(AND(OR(VLOOKUP(Y$2,'TIS Site Config'!$A$3:$AQ$51,6,FALSE)="Heated",
                           VLOOKUP(Y$2,'TIS Site Config'!$A$3:$AQ$51,6,FALSE)="Extreme Heated"),
                    VALUE(RIGHT($C113,2)) = VLOOKUP(Y$2,'TIS Site Config'!$A$3:$AQ$51,36,FALSE)),
             VLOOKUP(Y$2,'TIS Site Config'!$A$3:$AQ$51,17,FALSE)-2,0),0)</f>
        <v>4</v>
      </c>
      <c r="Z113" s="134">
        <f>IF(VLOOKUP(Z$2,'TIS Site Config'!$A$4:$AQ$51,3,FALSE)&lt;&gt;"Soft",
         IF(AND(OR(VLOOKUP(Z$2,'TIS Site Config'!$A$3:$AQ$51,6,FALSE)="Heated",
                           VLOOKUP(Z$2,'TIS Site Config'!$A$3:$AQ$51,6,FALSE)="Extreme Heated"),
                    VALUE(RIGHT($C113,2)) = VLOOKUP(Z$2,'TIS Site Config'!$A$3:$AQ$51,36,FALSE)),
             VLOOKUP(Z$2,'TIS Site Config'!$A$3:$AQ$51,17,FALSE)-2,0),0)</f>
        <v>2</v>
      </c>
      <c r="AA113" s="309">
        <f>IF(VLOOKUP(AA$2,'TIS Site Config'!$A$4:$AQ$51,3,FALSE)&lt;&gt;"Soft",
         IF(AND(OR(VLOOKUP(AA$2,'TIS Site Config'!$A$3:$AQ$51,6,FALSE)="Heated",
                           VLOOKUP(AA$2,'TIS Site Config'!$A$3:$AQ$51,6,FALSE)="Extreme Heated"),
                    VALUE(RIGHT($C113,2)) = VLOOKUP(AA$2,'TIS Site Config'!$A$3:$AQ$51,36,FALSE)),
             VLOOKUP(AA$2,'TIS Site Config'!$A$3:$AQ$51,17,FALSE)-2,0),0)</f>
        <v>4</v>
      </c>
      <c r="AB113" s="212">
        <f>IF(VLOOKUP(AB$2,'TIS Site Config'!$A$4:$AQ$51,3,FALSE)&lt;&gt;"Soft",
         IF(AND(OR(VLOOKUP(AB$2,'TIS Site Config'!$A$3:$AQ$51,6,FALSE)="Heated",
                           VLOOKUP(AB$2,'TIS Site Config'!$A$3:$AQ$51,6,FALSE)="Extreme Heated"),
                    VALUE(RIGHT($C113,2)) = VLOOKUP(AB$2,'TIS Site Config'!$A$3:$AQ$51,36,FALSE)),
             VLOOKUP(AB$2,'TIS Site Config'!$A$3:$AQ$51,17,FALSE)-2,0),0)</f>
        <v>2</v>
      </c>
      <c r="AC113" s="309">
        <f>IF(VLOOKUP(AC$2,'TIS Site Config'!$A$4:$AQ$51,3,FALSE)&lt;&gt;"Soft",
         IF(AND(OR(VLOOKUP(AC$2,'TIS Site Config'!$A$3:$AQ$51,6,FALSE)="Heated",
                           VLOOKUP(AC$2,'TIS Site Config'!$A$3:$AQ$51,6,FALSE)="Extreme Heated"),
                    VALUE(RIGHT($C113,2)) = VLOOKUP(AC$2,'TIS Site Config'!$A$3:$AQ$51,36,FALSE)),
             VLOOKUP(AC$2,'TIS Site Config'!$A$3:$AQ$51,17,FALSE)-2,0),0)</f>
        <v>4</v>
      </c>
      <c r="AD113" s="213">
        <f>IF(VLOOKUP(AD$2,'TIS Site Config'!$A$4:$AQ$51,3,FALSE)&lt;&gt;"Soft",
         IF(AND(OR(VLOOKUP(AD$2,'TIS Site Config'!$A$3:$AQ$51,6,FALSE)="Heated",
                           VLOOKUP(AD$2,'TIS Site Config'!$A$3:$AQ$51,6,FALSE)="Extreme Heated"),
                    VALUE(RIGHT($C113,2)) = VLOOKUP(AD$2,'TIS Site Config'!$A$3:$AQ$51,36,FALSE)),
             VLOOKUP(AD$2,'TIS Site Config'!$A$3:$AQ$51,17,FALSE)-2,0),0)</f>
        <v>4</v>
      </c>
      <c r="AE113" s="213">
        <f>IF(VLOOKUP(AE$2,'TIS Site Config'!$A$4:$AQ$51,3,FALSE)&lt;&gt;"Soft",
         IF(AND(OR(VLOOKUP(AE$2,'TIS Site Config'!$A$3:$AQ$51,6,FALSE)="Heated",
                           VLOOKUP(AE$2,'TIS Site Config'!$A$3:$AQ$51,6,FALSE)="Extreme Heated"),
                    VALUE(RIGHT($C113,2)) = VLOOKUP(AE$2,'TIS Site Config'!$A$3:$AQ$51,36,FALSE)),
             VLOOKUP(AE$2,'TIS Site Config'!$A$3:$AQ$51,17,FALSE)-2,0),0)</f>
        <v>4</v>
      </c>
      <c r="AF113" s="39">
        <f>IF(VLOOKUP(AF$2,'TIS Site Config'!$A$4:$AQ$51,3,FALSE)&lt;&gt;"Soft",
         IF(AND(OR(VLOOKUP(AF$2,'TIS Site Config'!$A$3:$AQ$51,6,FALSE)="Heated",
                           VLOOKUP(AF$2,'TIS Site Config'!$A$3:$AQ$51,6,FALSE)="Extreme Heated"),
                    VALUE(RIGHT($C113,2)) = VLOOKUP(AF$2,'TIS Site Config'!$A$3:$AQ$51,36,FALSE)),
             VLOOKUP(AF$2,'TIS Site Config'!$A$3:$AQ$51,17,FALSE)-2,0),0)</f>
        <v>0</v>
      </c>
      <c r="AG113" s="309">
        <f>IF(VLOOKUP(AG$2,'TIS Site Config'!$A$4:$AQ$51,3,FALSE)&lt;&gt;"Soft",
         IF(AND(OR(VLOOKUP(AG$2,'TIS Site Config'!$A$3:$AQ$51,6,FALSE)="Heated",
                           VLOOKUP(AG$2,'TIS Site Config'!$A$3:$AQ$51,6,FALSE)="Extreme Heated"),
                    VALUE(RIGHT($C113,2)) = VLOOKUP(AG$2,'TIS Site Config'!$A$3:$AQ$51,36,FALSE)),
             VLOOKUP(AG$2,'TIS Site Config'!$A$3:$AQ$51,17,FALSE)-2,0),0)</f>
        <v>0</v>
      </c>
      <c r="AH113" s="212">
        <f>IF(VLOOKUP(AH$2,'TIS Site Config'!$A$4:$AQ$51,3,FALSE)&lt;&gt;"Soft",
         IF(AND(OR(VLOOKUP(AH$2,'TIS Site Config'!$A$3:$AQ$51,6,FALSE)="Heated",
                           VLOOKUP(AH$2,'TIS Site Config'!$A$3:$AQ$51,6,FALSE)="Extreme Heated"),
                    VALUE(RIGHT($C113,2)) = VLOOKUP(AH$2,'TIS Site Config'!$A$3:$AQ$51,36,FALSE)),
             VLOOKUP(AH$2,'TIS Site Config'!$A$3:$AQ$51,17,FALSE)-2,0),0)</f>
        <v>0</v>
      </c>
      <c r="AI113" s="134">
        <f>IF(VLOOKUP(AI$2,'TIS Site Config'!$A$4:$AQ$51,3,FALSE)&lt;&gt;"Soft",
         IF(AND(OR(VLOOKUP(AI$2,'TIS Site Config'!$A$3:$AQ$51,6,FALSE)="Heated",
                           VLOOKUP(AI$2,'TIS Site Config'!$A$3:$AQ$51,6,FALSE)="Extreme Heated"),
                    VALUE(RIGHT($C113,2)) = VLOOKUP(AI$2,'TIS Site Config'!$A$3:$AQ$51,36,FALSE)),
             VLOOKUP(AI$2,'TIS Site Config'!$A$3:$AQ$51,17,FALSE)-2,0),0)</f>
        <v>2</v>
      </c>
      <c r="AJ113" s="309">
        <f>IF(VLOOKUP(AJ$2,'TIS Site Config'!$A$4:$AQ$51,3,FALSE)&lt;&gt;"Soft",
         IF(AND(OR(VLOOKUP(AJ$2,'TIS Site Config'!$A$3:$AQ$51,6,FALSE)="Heated",
                           VLOOKUP(AJ$2,'TIS Site Config'!$A$3:$AQ$51,6,FALSE)="Extreme Heated"),
                    VALUE(RIGHT($C113,2)) = VLOOKUP(AJ$2,'TIS Site Config'!$A$3:$AQ$51,36,FALSE)),
             VLOOKUP(AJ$2,'TIS Site Config'!$A$3:$AQ$51,17,FALSE)-2,0),0)</f>
        <v>2</v>
      </c>
      <c r="AK113" s="212">
        <f>IF(VLOOKUP(AK$2,'TIS Site Config'!$A$4:$AQ$51,3,FALSE)&lt;&gt;"Soft",
         IF(AND(OR(VLOOKUP(AK$2,'TIS Site Config'!$A$3:$AQ$51,6,FALSE)="Heated",
                           VLOOKUP(AK$2,'TIS Site Config'!$A$3:$AQ$51,6,FALSE)="Extreme Heated"),
                    VALUE(RIGHT($C113,2)) = VLOOKUP(AK$2,'TIS Site Config'!$A$3:$AQ$51,36,FALSE)),
             VLOOKUP(AK$2,'TIS Site Config'!$A$3:$AQ$51,17,FALSE)-2,0),0)</f>
        <v>2</v>
      </c>
      <c r="AL113" s="134">
        <f>IF(VLOOKUP(AL$2,'TIS Site Config'!$A$4:$AQ$51,3,FALSE)&lt;&gt;"Soft",
         IF(AND(OR(VLOOKUP(AL$2,'TIS Site Config'!$A$3:$AQ$51,6,FALSE)="Heated",
                           VLOOKUP(AL$2,'TIS Site Config'!$A$3:$AQ$51,6,FALSE)="Extreme Heated"),
                    VALUE(RIGHT($C113,2)) = VLOOKUP(AL$2,'TIS Site Config'!$A$3:$AQ$51,36,FALSE)),
             VLOOKUP(AL$2,'TIS Site Config'!$A$3:$AQ$51,17,FALSE)-2,0),0)</f>
        <v>2</v>
      </c>
      <c r="AM113" s="309">
        <f>IF(VLOOKUP(AM$2,'TIS Site Config'!$A$4:$AQ$51,3,FALSE)&lt;&gt;"Soft",
         IF(AND(OR(VLOOKUP(AM$2,'TIS Site Config'!$A$3:$AQ$51,6,FALSE)="Heated",
                           VLOOKUP(AM$2,'TIS Site Config'!$A$3:$AQ$51,6,FALSE)="Extreme Heated"),
                    VALUE(RIGHT($C113,2)) = VLOOKUP(AM$2,'TIS Site Config'!$A$3:$AQ$51,36,FALSE)),
             VLOOKUP(AM$2,'TIS Site Config'!$A$3:$AQ$51,17,FALSE)-2,0),0)</f>
        <v>2</v>
      </c>
      <c r="AN113" s="212">
        <f>IF(VLOOKUP(AN$2,'TIS Site Config'!$A$4:$AQ$51,3,FALSE)&lt;&gt;"Soft",
         IF(AND(OR(VLOOKUP(AN$2,'TIS Site Config'!$A$3:$AQ$51,6,FALSE)="Heated",
                           VLOOKUP(AN$2,'TIS Site Config'!$A$3:$AQ$51,6,FALSE)="Extreme Heated"),
                    VALUE(RIGHT($C113,2)) = VLOOKUP(AN$2,'TIS Site Config'!$A$3:$AQ$51,36,FALSE)),
             VLOOKUP(AN$2,'TIS Site Config'!$A$3:$AQ$51,17,FALSE)-2,0),0)</f>
        <v>3</v>
      </c>
      <c r="AO113" s="134">
        <f>IF(VLOOKUP(AO$2,'TIS Site Config'!$A$4:$AQ$51,3,FALSE)&lt;&gt;"Soft",
         IF(AND(OR(VLOOKUP(AO$2,'TIS Site Config'!$A$3:$AQ$51,6,FALSE)="Heated",
                           VLOOKUP(AO$2,'TIS Site Config'!$A$3:$AQ$51,6,FALSE)="Extreme Heated"),
                    VALUE(RIGHT($C113,2)) = VLOOKUP(AO$2,'TIS Site Config'!$A$3:$AQ$51,36,FALSE)),
             VLOOKUP(AO$2,'TIS Site Config'!$A$3:$AQ$51,17,FALSE)-2,0),0)</f>
        <v>3</v>
      </c>
      <c r="AP113" s="309">
        <f>IF(VLOOKUP(AP$2,'TIS Site Config'!$A$4:$AQ$51,3,FALSE)&lt;&gt;"Soft",
         IF(AND(OR(VLOOKUP(AP$2,'TIS Site Config'!$A$3:$AQ$51,6,FALSE)="Heated",
                           VLOOKUP(AP$2,'TIS Site Config'!$A$3:$AQ$51,6,FALSE)="Extreme Heated"),
                    VALUE(RIGHT($C113,2)) = VLOOKUP(AP$2,'TIS Site Config'!$A$3:$AQ$51,36,FALSE)),
             VLOOKUP(AP$2,'TIS Site Config'!$A$3:$AQ$51,17,FALSE)-2,0),0)</f>
        <v>2</v>
      </c>
      <c r="AQ113" s="134">
        <f>IF(VLOOKUP(AQ$2,'TIS Site Config'!$A$4:$AQ$51,3,FALSE)&lt;&gt;"Soft",
         IF(AND(OR(VLOOKUP(AQ$2,'TIS Site Config'!$A$3:$AQ$51,6,FALSE)="Heated",
                           VLOOKUP(AQ$2,'TIS Site Config'!$A$3:$AQ$51,6,FALSE)="Extreme Heated"),
                    VALUE(RIGHT($C113,2)) = VLOOKUP(AQ$2,'TIS Site Config'!$A$3:$AQ$51,36,FALSE)),
             VLOOKUP(AQ$2,'TIS Site Config'!$A$3:$AQ$51,17,FALSE)-2,0),0)</f>
        <v>4</v>
      </c>
      <c r="AR113" s="134">
        <f>IF(VLOOKUP(AR$2,'TIS Site Config'!$A$4:$AQ$51,3,FALSE)&lt;&gt;"Soft",
         IF(AND(OR(VLOOKUP(AR$2,'TIS Site Config'!$A$3:$AQ$51,6,FALSE)="Heated",
                           VLOOKUP(AR$2,'TIS Site Config'!$A$3:$AQ$51,6,FALSE)="Extreme Heated"),
                    VALUE(RIGHT($C113,2)) = VLOOKUP(AR$2,'TIS Site Config'!$A$3:$AQ$51,36,FALSE)),
             VLOOKUP(AR$2,'TIS Site Config'!$A$3:$AQ$51,17,FALSE)-2,0),0)</f>
        <v>2</v>
      </c>
      <c r="AS113" s="309">
        <f>IF(VLOOKUP(AS$2,'TIS Site Config'!$A$4:$AQ$51,3,FALSE)&lt;&gt;"Soft",
         IF(AND(OR(VLOOKUP(AS$2,'TIS Site Config'!$A$3:$AQ$51,6,FALSE)="Heated",
                           VLOOKUP(AS$2,'TIS Site Config'!$A$3:$AQ$51,6,FALSE)="Extreme Heated"),
                    VALUE(RIGHT($C113,2)) = VLOOKUP(AS$2,'TIS Site Config'!$A$3:$AQ$51,36,FALSE)),
             VLOOKUP(AS$2,'TIS Site Config'!$A$3:$AQ$51,17,FALSE)-2,0),0)</f>
        <v>2</v>
      </c>
      <c r="AT113" s="134">
        <f>IF(VLOOKUP(AT$2,'TIS Site Config'!$A$4:$AQ$51,3,FALSE)&lt;&gt;"Soft",
         IF(AND(OR(VLOOKUP(AT$2,'TIS Site Config'!$A$3:$AQ$51,6,FALSE)="Heated",
                           VLOOKUP(AT$2,'TIS Site Config'!$A$3:$AQ$51,6,FALSE)="Extreme Heated"),
                    VALUE(RIGHT($C113,2)) = VLOOKUP(AT$2,'TIS Site Config'!$A$3:$AQ$51,36,FALSE)),
             VLOOKUP(AT$2,'TIS Site Config'!$A$3:$AQ$51,17,FALSE)-2,0),0)</f>
        <v>0</v>
      </c>
      <c r="AU113" s="309">
        <f>IF(VLOOKUP(AU$2,'TIS Site Config'!$A$4:$AQ$51,3,FALSE)&lt;&gt;"Soft",
         IF(AND(OR(VLOOKUP(AU$2,'TIS Site Config'!$A$3:$AQ$51,6,FALSE)="Heated",
                           VLOOKUP(AU$2,'TIS Site Config'!$A$3:$AQ$51,6,FALSE)="Extreme Heated"),
                    VALUE(RIGHT($C113,2)) = VLOOKUP(AU$2,'TIS Site Config'!$A$3:$AQ$51,36,FALSE)),
             VLOOKUP(AU$2,'TIS Site Config'!$A$3:$AQ$51,17,FALSE)-2,0),0)</f>
        <v>0</v>
      </c>
      <c r="AV113" s="134">
        <f>IF(VLOOKUP(AV$2,'TIS Site Config'!$A$4:$AQ$51,3,FALSE)&lt;&gt;"Soft",
         IF(AND(OR(VLOOKUP(AV$2,'TIS Site Config'!$A$3:$AQ$51,6,FALSE)="Heated",
                           VLOOKUP(AV$2,'TIS Site Config'!$A$3:$AQ$51,6,FALSE)="Extreme Heated"),
                    VALUE(RIGHT($C113,2)) = VLOOKUP(AV$2,'TIS Site Config'!$A$3:$AQ$51,36,FALSE)),
             VLOOKUP(AV$2,'TIS Site Config'!$A$3:$AQ$51,17,FALSE)-2,0),0)</f>
        <v>2</v>
      </c>
      <c r="AW113" s="134">
        <f>IF(VLOOKUP(AW$2,'TIS Site Config'!$A$4:$AQ$51,3,FALSE)&lt;&gt;"Soft",
         IF(AND(OR(VLOOKUP(AW$2,'TIS Site Config'!$A$3:$AQ$51,6,FALSE)="Heated",
                           VLOOKUP(AW$2,'TIS Site Config'!$A$3:$AQ$51,6,FALSE)="Extreme Heated"),
                    VALUE(RIGHT($C113,2)) = VLOOKUP(AW$2,'TIS Site Config'!$A$3:$AQ$51,36,FALSE)),
             VLOOKUP(AW$2,'TIS Site Config'!$A$3:$AQ$51,17,FALSE)-2,0),0)</f>
        <v>6</v>
      </c>
      <c r="AX113" s="212">
        <f>IF(VLOOKUP(AX$2,'TIS Site Config'!$A$4:$AQ$51,3,FALSE)&lt;&gt;"Soft",
         IF(AND(OR(VLOOKUP(AX$2,'TIS Site Config'!$A$3:$AQ$51,6,FALSE)="Heated",
                           VLOOKUP(AX$2,'TIS Site Config'!$A$3:$AQ$51,6,FALSE)="Extreme Heated"),
                    VALUE(RIGHT($C113,2)) = VLOOKUP(AX$2,'TIS Site Config'!$A$3:$AQ$51,36,FALSE)),
             VLOOKUP(AX$2,'TIS Site Config'!$A$3:$AQ$51,17,FALSE)-2,0),0)</f>
        <v>3</v>
      </c>
      <c r="AY113" s="134">
        <f>IF(VLOOKUP(AY$2,'TIS Site Config'!$A$4:$AQ$51,3,FALSE)&lt;&gt;"Soft",
         IF(AND(OR(VLOOKUP(AY$2,'TIS Site Config'!$A$3:$AQ$51,6,FALSE)="Heated",
                           VLOOKUP(AY$2,'TIS Site Config'!$A$3:$AQ$51,6,FALSE)="Extreme Heated"),
                    VALUE(RIGHT($C113,2)) = VLOOKUP(AY$2,'TIS Site Config'!$A$3:$AQ$51,36,FALSE)),
             VLOOKUP(AY$2,'TIS Site Config'!$A$3:$AQ$51,17,FALSE)-2,0),0)</f>
        <v>4</v>
      </c>
      <c r="AZ113" s="309">
        <f>IF(VLOOKUP(AZ$2,'TIS Site Config'!$A$4:$AQ$51,3,FALSE)&lt;&gt;"Soft",
         IF(AND(OR(VLOOKUP(AZ$2,'TIS Site Config'!$A$3:$AQ$51,6,FALSE)="Heated",
                           VLOOKUP(AZ$2,'TIS Site Config'!$A$3:$AQ$51,6,FALSE)="Extreme Heated"),
                    VALUE(RIGHT($C113,2)) = VLOOKUP(AZ$2,'TIS Site Config'!$A$3:$AQ$51,36,FALSE)),
             VLOOKUP(AZ$2,'TIS Site Config'!$A$3:$AQ$51,17,FALSE)-2,0),0)</f>
        <v>4</v>
      </c>
      <c r="BA113" s="213">
        <f>IF(VLOOKUP(BA$2,'TIS Site Config'!$A$4:$AQ$51,3,FALSE)&lt;&gt;"Soft",
         IF(AND(OR(VLOOKUP(BA$2,'TIS Site Config'!$A$3:$AQ$51,6,FALSE)="Heated",
                           VLOOKUP(BA$2,'TIS Site Config'!$A$3:$AQ$51,6,FALSE)="Extreme Heated"),
                    VALUE(RIGHT($C113,2)) = VLOOKUP(BA$2,'TIS Site Config'!$A$3:$AQ$51,36,FALSE)),
             VLOOKUP(BA$2,'TIS Site Config'!$A$3:$AQ$51,17,FALSE)-2,0),0)</f>
        <v>5</v>
      </c>
      <c r="BB113" s="134">
        <f>IF(VLOOKUP(BB$2,'TIS Site Config'!$A$4:$AQ$51,3,FALSE)&lt;&gt;"Soft",
         IF(AND(OR(VLOOKUP(BB$2,'TIS Site Config'!$A$3:$AQ$51,6,FALSE)="Heated",
                           VLOOKUP(BB$2,'TIS Site Config'!$A$3:$AQ$51,6,FALSE)="Extreme Heated"),
                    VALUE(RIGHT($C113,2)) = VLOOKUP(BB$2,'TIS Site Config'!$A$3:$AQ$51,36,FALSE)),
             VLOOKUP(BB$2,'TIS Site Config'!$A$3:$AQ$51,17,FALSE)-2,0),0)</f>
        <v>2</v>
      </c>
      <c r="BC113" s="212">
        <f>IF(VLOOKUP(BC$2,'TIS Site Config'!$A$4:$AQ$51,3,FALSE)&lt;&gt;"Soft",
         IF(AND(OR(VLOOKUP(BC$2,'TIS Site Config'!$A$3:$AQ$51,6,FALSE)="Heated",
                           VLOOKUP(BC$2,'TIS Site Config'!$A$3:$AQ$51,6,FALSE)="Extreme Heated"),
                    VALUE(RIGHT($C113,2)) = VLOOKUP(BC$2,'TIS Site Config'!$A$3:$AQ$51,36,FALSE)),
             VLOOKUP(BC$2,'TIS Site Config'!$A$3:$AQ$51,17,FALSE)-2,0),0)</f>
        <v>2</v>
      </c>
      <c r="BD113" s="134">
        <f>IF(VLOOKUP(BD$2,'TIS Site Config'!$A$4:$AQ$51,3,FALSE)&lt;&gt;"Soft",
         IF(AND(OR(VLOOKUP(BD$2,'TIS Site Config'!$A$3:$AQ$51,6,FALSE)="Heated",
                           VLOOKUP(BD$2,'TIS Site Config'!$A$3:$AQ$51,6,FALSE)="Extreme Heated"),
                    VALUE(RIGHT($C113,2)) = VLOOKUP(BD$2,'TIS Site Config'!$A$3:$AQ$51,36,FALSE)),
             VLOOKUP(BD$2,'TIS Site Config'!$A$3:$AQ$51,17,FALSE)-2,0),0)</f>
        <v>3</v>
      </c>
      <c r="BE113" s="309">
        <f>IF(VLOOKUP(BE$2,'TIS Site Config'!$A$4:$AQ$51,3,FALSE)&lt;&gt;"Soft",
         IF(AND(OR(VLOOKUP(BE$2,'TIS Site Config'!$A$3:$AQ$51,6,FALSE)="Heated",
                           VLOOKUP(BE$2,'TIS Site Config'!$A$3:$AQ$51,6,FALSE)="Extreme Heated"),
                    VALUE(RIGHT($C113,2)) = VLOOKUP(BE$2,'TIS Site Config'!$A$3:$AQ$51,36,FALSE)),
             VLOOKUP(BE$2,'TIS Site Config'!$A$3:$AQ$51,17,FALSE)-2,0),0)</f>
        <v>3</v>
      </c>
      <c r="BF113" s="212">
        <f>IF(VLOOKUP(BF$2,'TIS Site Config'!$A$4:$AQ$51,3,FALSE)&lt;&gt;"Soft",
         IF(AND(OR(VLOOKUP(BF$2,'TIS Site Config'!$A$3:$AQ$51,6,FALSE)="Heated",
                           VLOOKUP(BF$2,'TIS Site Config'!$A$3:$AQ$51,6,FALSE)="Extreme Heated"),
                    VALUE(RIGHT($C113,2)) = VLOOKUP(BF$2,'TIS Site Config'!$A$3:$AQ$51,36,FALSE)),
             VLOOKUP(BF$2,'TIS Site Config'!$A$3:$AQ$51,17,FALSE)-2,0),0)</f>
        <v>2</v>
      </c>
      <c r="BG113" s="60">
        <f>IF(VLOOKUP(BG$2,'TIS Site Config'!$A$4:$AQ$51,3,FALSE)&lt;&gt;"Soft",
         IF(AND(OR(VLOOKUP(BG$2,'TIS Site Config'!$A$3:$AQ$51,6,FALSE)="Heated",
                           VLOOKUP(BG$2,'TIS Site Config'!$A$3:$AQ$51,6,FALSE)="Extreme Heated"),
                    VALUE(RIGHT($C113,2)) = VLOOKUP(BG$2,'TIS Site Config'!$A$3:$AQ$51,36,FALSE)),
             VLOOKUP(BG$2,'TIS Site Config'!$A$3:$AQ$51,17,FALSE)-2,0),0)</f>
        <v>0</v>
      </c>
      <c r="BH113" s="60">
        <f>IF(VLOOKUP(BH$2,'TIS Site Config'!$A$4:$AQ$51,3,FALSE)&lt;&gt;"Soft",
         IF(AND(OR(VLOOKUP(BH$2,'TIS Site Config'!$A$3:$AQ$51,6,FALSE)="Heated",
                           VLOOKUP(BH$2,'TIS Site Config'!$A$3:$AQ$51,6,FALSE)="Extreme Heated"),
                    VALUE(RIGHT($C113,2)) = VLOOKUP(BH$2,'TIS Site Config'!$A$3:$AQ$51,36,FALSE)),
             VLOOKUP(BH$2,'TIS Site Config'!$A$3:$AQ$51,17,FALSE)-2,0),0)</f>
        <v>2</v>
      </c>
      <c r="BK113" s="44">
        <v>139</v>
      </c>
      <c r="BL113" s="950" t="b">
        <f t="shared" si="9"/>
        <v>0</v>
      </c>
      <c r="BO113" s="950"/>
    </row>
    <row r="114" spans="1:67" s="44" customFormat="1" x14ac:dyDescent="0.25">
      <c r="A114" s="1366"/>
      <c r="B114" s="1374"/>
      <c r="C114" s="57" t="s">
        <v>536</v>
      </c>
      <c r="D114" s="90">
        <v>3</v>
      </c>
      <c r="E114" s="84" t="s">
        <v>552</v>
      </c>
      <c r="F114" s="60">
        <f t="shared" si="5"/>
        <v>11</v>
      </c>
      <c r="G114" s="459"/>
      <c r="H114" s="460"/>
      <c r="I114" s="460"/>
      <c r="J114" s="460"/>
      <c r="K114" s="461"/>
      <c r="L114" s="494"/>
      <c r="M114" s="134">
        <f>IF(
                   VLOOKUP(M$2,'TIS Site Config'!$A$3:$AQ$51,6,FALSE)="Non-heated",
                              1,0)</f>
        <v>0</v>
      </c>
      <c r="N114" s="212">
        <f>IF(
                   VLOOKUP(N$2,'TIS Site Config'!$A$3:$AQ$51,6,FALSE)="Non-heated",
                              1,0)</f>
        <v>0</v>
      </c>
      <c r="O114" s="215">
        <f>IF(
                   VLOOKUP(O$2,'TIS Site Config'!$A$3:$AQ$51,6,FALSE)="Non-heated",
                              1,0)</f>
        <v>0</v>
      </c>
      <c r="P114" s="309">
        <f>IF(
                   VLOOKUP(P$2,'TIS Site Config'!$A$3:$AQ$51,6,FALSE)="Non-heated",
                              1,0)</f>
        <v>0</v>
      </c>
      <c r="Q114" s="212">
        <f>IF(
                   VLOOKUP(Q$2,'TIS Site Config'!$A$3:$AQ$51,6,FALSE)="Non-heated",
                              1,0)</f>
        <v>0</v>
      </c>
      <c r="R114" s="134">
        <f>IF(
                   VLOOKUP(R$2,'TIS Site Config'!$A$3:$AQ$51,6,FALSE)="Non-heated",
                              1,0)</f>
        <v>1</v>
      </c>
      <c r="S114" s="309">
        <f>IF(
                   VLOOKUP(S$2,'TIS Site Config'!$A$3:$AQ$51,6,FALSE)="Non-heated",
                              1,0)</f>
        <v>1</v>
      </c>
      <c r="T114" s="212">
        <f>IF(
                   VLOOKUP(T$2,'TIS Site Config'!$A$3:$AQ$51,6,FALSE)="Non-heated",
                              1,0)</f>
        <v>1</v>
      </c>
      <c r="U114" s="134">
        <f>IF(
                   VLOOKUP(U$2,'TIS Site Config'!$A$3:$AQ$51,6,FALSE)="Non-heated",
                              1,0)</f>
        <v>1</v>
      </c>
      <c r="V114" s="212">
        <f>IF(
                   VLOOKUP(V$2,'TIS Site Config'!$A$3:$AQ$51,6,FALSE)="Non-heated",
                              1,0)</f>
        <v>1</v>
      </c>
      <c r="W114" s="214">
        <f>IF(
                   VLOOKUP(W$2,'TIS Site Config'!$A$3:$AQ$51,6,FALSE)="Non-heated",
                              1,0)</f>
        <v>0</v>
      </c>
      <c r="X114" s="309">
        <f>IF(
                   VLOOKUP(X$2,'TIS Site Config'!$A$3:$AQ$51,6,FALSE)="Non-heated",
                              1,0)</f>
        <v>0</v>
      </c>
      <c r="Y114" s="212">
        <f>IF(
                   VLOOKUP(Y$2,'TIS Site Config'!$A$3:$AQ$51,6,FALSE)="Non-heated",
                              1,0)</f>
        <v>0</v>
      </c>
      <c r="Z114" s="134">
        <f>IF(
                   VLOOKUP(Z$2,'TIS Site Config'!$A$3:$AQ$51,6,FALSE)="Non-heated",
                              1,0)</f>
        <v>0</v>
      </c>
      <c r="AA114" s="309">
        <f>IF(
                   VLOOKUP(AA$2,'TIS Site Config'!$A$3:$AQ$51,6,FALSE)="Non-heated",
                              1,0)</f>
        <v>0</v>
      </c>
      <c r="AB114" s="212">
        <f>IF(
                   VLOOKUP(AB$2,'TIS Site Config'!$A$3:$AQ$51,6,FALSE)="Non-heated",
                              1,0)</f>
        <v>0</v>
      </c>
      <c r="AC114" s="309">
        <f>IF(
                   VLOOKUP(AC$2,'TIS Site Config'!$A$3:$AQ$51,6,FALSE)="Non-heated",
                              1,0)</f>
        <v>0</v>
      </c>
      <c r="AD114" s="213">
        <f>IF(
                   VLOOKUP(AD$2,'TIS Site Config'!$A$3:$AQ$51,6,FALSE)="Non-heated",
                              1,0)</f>
        <v>0</v>
      </c>
      <c r="AE114" s="213">
        <f>IF(
                   VLOOKUP(AE$2,'TIS Site Config'!$A$3:$AQ$51,6,FALSE)="Non-heated",
                              1,0)</f>
        <v>0</v>
      </c>
      <c r="AF114" s="39">
        <f>IF(
                   VLOOKUP(AF$2,'TIS Site Config'!$A$3:$AQ$51,6,FALSE)="Non-heated",
                              1,0)</f>
        <v>1</v>
      </c>
      <c r="AG114" s="309">
        <f>IF(
                   VLOOKUP(AG$2,'TIS Site Config'!$A$3:$AQ$51,6,FALSE)="Non-heated",
                              1,0)</f>
        <v>1</v>
      </c>
      <c r="AH114" s="212">
        <f>IF(
                   VLOOKUP(AH$2,'TIS Site Config'!$A$3:$AQ$51,6,FALSE)="Non-heated",
                              1,0)</f>
        <v>1</v>
      </c>
      <c r="AI114" s="134">
        <f>IF(
                   VLOOKUP(AI$2,'TIS Site Config'!$A$3:$AQ$51,6,FALSE)="Non-heated",
                              1,0)</f>
        <v>0</v>
      </c>
      <c r="AJ114" s="309">
        <f>IF(
                   VLOOKUP(AJ$2,'TIS Site Config'!$A$3:$AQ$51,6,FALSE)="Non-heated",
                              1,0)</f>
        <v>0</v>
      </c>
      <c r="AK114" s="212">
        <f>IF(
                   VLOOKUP(AK$2,'TIS Site Config'!$A$3:$AQ$51,6,FALSE)="Non-heated",
                              1,0)</f>
        <v>0</v>
      </c>
      <c r="AL114" s="134">
        <f>IF(
                   VLOOKUP(AL$2,'TIS Site Config'!$A$3:$AQ$51,6,FALSE)="Non-heated",
                              1,0)</f>
        <v>0</v>
      </c>
      <c r="AM114" s="309">
        <f>IF(
                   VLOOKUP(AM$2,'TIS Site Config'!$A$3:$AQ$51,6,FALSE)="Non-heated",
                              1,0)</f>
        <v>0</v>
      </c>
      <c r="AN114" s="940">
        <f>IF(
                   VLOOKUP(AN$2,'TIS Site Config'!$A$3:$AQ$51,6,FALSE)="Non-heated",
                              1,0)</f>
        <v>0</v>
      </c>
      <c r="AO114" s="134">
        <f>IF(
                   VLOOKUP(AO$2,'TIS Site Config'!$A$3:$AQ$51,6,FALSE)="Non-heated",
                              1,0)</f>
        <v>0</v>
      </c>
      <c r="AP114" s="309">
        <f>IF(
                   VLOOKUP(AP$2,'TIS Site Config'!$A$3:$AQ$51,6,FALSE)="Non-heated",
                              1,0)</f>
        <v>0</v>
      </c>
      <c r="AQ114" s="1007">
        <f>IF(
                   VLOOKUP(AQ$2,'TIS Site Config'!$A$3:$AQ$51,6,FALSE)="Non-heated",
                              1,0)</f>
        <v>0</v>
      </c>
      <c r="AR114" s="1007">
        <f>IF(
                   VLOOKUP(AR$2,'TIS Site Config'!$A$3:$AQ$51,6,FALSE)="Non-heated",
                              1,0)</f>
        <v>0</v>
      </c>
      <c r="AS114" s="309">
        <f>IF(
                   VLOOKUP(AS$2,'TIS Site Config'!$A$3:$AQ$51,6,FALSE)="Non-heated",
                              1,0)</f>
        <v>0</v>
      </c>
      <c r="AT114" s="134">
        <f>IF(
                   VLOOKUP(AT$2,'TIS Site Config'!$A$3:$AQ$51,6,FALSE)="Non-heated",
                              1,0)</f>
        <v>1</v>
      </c>
      <c r="AU114" s="309">
        <f>IF(
                   VLOOKUP(AU$2,'TIS Site Config'!$A$3:$AQ$51,6,FALSE)="Non-heated",
                              1,0)</f>
        <v>1</v>
      </c>
      <c r="AV114" s="134">
        <f>IF(
                   VLOOKUP(AV$2,'TIS Site Config'!$A$3:$AQ$51,6,FALSE)="Non-heated",
                              1,0)</f>
        <v>0</v>
      </c>
      <c r="AW114" s="134">
        <f>IF(
                   VLOOKUP(AW$2,'TIS Site Config'!$A$3:$AQ$51,6,FALSE)="Non-heated",
                              1,0)</f>
        <v>0</v>
      </c>
      <c r="AX114" s="212">
        <f>IF(
                   VLOOKUP(AX$2,'TIS Site Config'!$A$3:$AQ$51,6,FALSE)="Non-heated",
                              1,0)</f>
        <v>0</v>
      </c>
      <c r="AY114" s="134">
        <f>IF(
                   VLOOKUP(AY$2,'TIS Site Config'!$A$3:$AQ$51,6,FALSE)="Non-heated",
                              1,0)</f>
        <v>0</v>
      </c>
      <c r="AZ114" s="309">
        <f>IF(
                   VLOOKUP(AZ$2,'TIS Site Config'!$A$3:$AQ$51,6,FALSE)="Non-heated",
                              1,0)</f>
        <v>0</v>
      </c>
      <c r="BA114" s="988">
        <f>IF(
                   VLOOKUP(BA$2,'TIS Site Config'!$A$3:$AQ$51,6,FALSE)="Non-heated",
                              1,0)</f>
        <v>0</v>
      </c>
      <c r="BB114" s="134">
        <f>IF(
                   VLOOKUP(BB$2,'TIS Site Config'!$A$3:$AQ$51,6,FALSE)="Non-heated",
                              1,0)</f>
        <v>0</v>
      </c>
      <c r="BC114" s="212">
        <f>IF(
                   VLOOKUP(BC$2,'TIS Site Config'!$A$3:$AQ$51,6,FALSE)="Non-heated",
                              1,0)</f>
        <v>0</v>
      </c>
      <c r="BD114" s="134">
        <f>IF(
                   VLOOKUP(BD$2,'TIS Site Config'!$A$3:$AQ$51,6,FALSE)="Non-heated",
                              1,0)</f>
        <v>0</v>
      </c>
      <c r="BE114" s="309">
        <f>IF(
                   VLOOKUP(BE$2,'TIS Site Config'!$A$3:$AQ$51,6,FALSE)="Non-heated",
                              1,0)</f>
        <v>0</v>
      </c>
      <c r="BF114" s="212">
        <f>IF(
                   VLOOKUP(BF$2,'TIS Site Config'!$A$3:$AQ$51,6,FALSE)="Non-heated",
                              1,0)</f>
        <v>0</v>
      </c>
      <c r="BG114" s="60">
        <f>IF(
                   VLOOKUP(BG$2,'TIS Site Config'!$A$3:$AQ$51,6,FALSE)="Non-heated",
                              1,0)</f>
        <v>1</v>
      </c>
      <c r="BH114" s="60">
        <f>IF(
                   VLOOKUP(BH$2,'TIS Site Config'!$A$3:$AQ$51,6,FALSE)="Non-heated",
                              1,0)</f>
        <v>0</v>
      </c>
      <c r="BI114" s="437" t="s">
        <v>971</v>
      </c>
      <c r="BK114" s="44">
        <v>15</v>
      </c>
      <c r="BL114" s="950" t="b">
        <f t="shared" si="9"/>
        <v>0</v>
      </c>
      <c r="BO114" s="950"/>
    </row>
    <row r="115" spans="1:67" s="44" customFormat="1" x14ac:dyDescent="0.25">
      <c r="A115" s="1366"/>
      <c r="B115" s="1374"/>
      <c r="C115" s="57" t="s">
        <v>886</v>
      </c>
      <c r="D115" s="90">
        <v>4</v>
      </c>
      <c r="E115" s="84" t="s">
        <v>889</v>
      </c>
      <c r="F115" s="60">
        <f t="shared" si="5"/>
        <v>36</v>
      </c>
      <c r="G115" s="462"/>
      <c r="H115" s="463"/>
      <c r="I115" s="463"/>
      <c r="J115" s="463"/>
      <c r="K115" s="464"/>
      <c r="L115" s="495"/>
      <c r="M115" s="134">
        <f>IF(
                   OR(VLOOKUP(M$2,'TIS Site Config'!$A$3:$AQ$51,6,FALSE)="Heated",
                           VLOOKUP(M$2,'TIS Site Config'!$A$3:$AQ$51,6,FALSE)="Extreme Heated"),
                              1,0)</f>
        <v>1</v>
      </c>
      <c r="N115" s="212">
        <f>IF(
                   OR(VLOOKUP(N$2,'TIS Site Config'!$A$3:$AQ$51,6,FALSE)="Heated",
                           VLOOKUP(N$2,'TIS Site Config'!$A$3:$AQ$51,6,FALSE)="Extreme Heated"),
                              1,0)</f>
        <v>1</v>
      </c>
      <c r="O115" s="215">
        <f>IF(
                   OR(VLOOKUP(O$2,'TIS Site Config'!$A$3:$AQ$51,6,FALSE)="Heated",
                           VLOOKUP(O$2,'TIS Site Config'!$A$3:$AQ$51,6,FALSE)="Extreme Heated"),
                              1,0)</f>
        <v>1</v>
      </c>
      <c r="P115" s="309">
        <f>IF(
                   OR(VLOOKUP(P$2,'TIS Site Config'!$A$3:$AQ$51,6,FALSE)="Heated",
                           VLOOKUP(P$2,'TIS Site Config'!$A$3:$AQ$51,6,FALSE)="Extreme Heated"),
                              1,0)</f>
        <v>1</v>
      </c>
      <c r="Q115" s="212">
        <f>IF(
                   OR(VLOOKUP(Q$2,'TIS Site Config'!$A$3:$AQ$51,6,FALSE)="Heated",
                           VLOOKUP(Q$2,'TIS Site Config'!$A$3:$AQ$51,6,FALSE)="Extreme Heated"),
                              1,0)</f>
        <v>1</v>
      </c>
      <c r="R115" s="134">
        <f>IF(
                   OR(VLOOKUP(R$2,'TIS Site Config'!$A$3:$AQ$51,6,FALSE)="Heated",
                           VLOOKUP(R$2,'TIS Site Config'!$A$3:$AQ$51,6,FALSE)="Extreme Heated"),
                              1,0)</f>
        <v>0</v>
      </c>
      <c r="S115" s="309">
        <f>IF(
                   OR(VLOOKUP(S$2,'TIS Site Config'!$A$3:$AQ$51,6,FALSE)="Heated",
                           VLOOKUP(S$2,'TIS Site Config'!$A$3:$AQ$51,6,FALSE)="Extreme Heated"),
                              1,0)</f>
        <v>0</v>
      </c>
      <c r="T115" s="212">
        <f>IF(
                   OR(VLOOKUP(T$2,'TIS Site Config'!$A$3:$AQ$51,6,FALSE)="Heated",
                           VLOOKUP(T$2,'TIS Site Config'!$A$3:$AQ$51,6,FALSE)="Extreme Heated"),
                              1,0)</f>
        <v>0</v>
      </c>
      <c r="U115" s="134">
        <f>IF(
                   OR(VLOOKUP(U$2,'TIS Site Config'!$A$3:$AQ$51,6,FALSE)="Heated",
                           VLOOKUP(U$2,'TIS Site Config'!$A$3:$AQ$51,6,FALSE)="Extreme Heated"),
                              1,0)</f>
        <v>0</v>
      </c>
      <c r="V115" s="212">
        <f>IF(
                   OR(VLOOKUP(V$2,'TIS Site Config'!$A$3:$AQ$51,6,FALSE)="Heated",
                           VLOOKUP(V$2,'TIS Site Config'!$A$3:$AQ$51,6,FALSE)="Extreme Heated"),
                              1,0)</f>
        <v>0</v>
      </c>
      <c r="W115" s="214">
        <f>IF(
                   OR(VLOOKUP(W$2,'TIS Site Config'!$A$3:$AQ$51,6,FALSE)="Heated",
                           VLOOKUP(W$2,'TIS Site Config'!$A$3:$AQ$51,6,FALSE)="Extreme Heated"),
                              1,0)</f>
        <v>1</v>
      </c>
      <c r="X115" s="309">
        <f>IF(
                   OR(VLOOKUP(X$2,'TIS Site Config'!$A$3:$AQ$51,6,FALSE)="Heated",
                           VLOOKUP(X$2,'TIS Site Config'!$A$3:$AQ$51,6,FALSE)="Extreme Heated"),
                              1,0)</f>
        <v>1</v>
      </c>
      <c r="Y115" s="212">
        <f>IF(
                   OR(VLOOKUP(Y$2,'TIS Site Config'!$A$3:$AQ$51,6,FALSE)="Heated",
                           VLOOKUP(Y$2,'TIS Site Config'!$A$3:$AQ$51,6,FALSE)="Extreme Heated"),
                              1,0)</f>
        <v>1</v>
      </c>
      <c r="Z115" s="134">
        <f>IF(
                   OR(VLOOKUP(Z$2,'TIS Site Config'!$A$3:$AQ$51,6,FALSE)="Heated",
                           VLOOKUP(Z$2,'TIS Site Config'!$A$3:$AQ$51,6,FALSE)="Extreme Heated"),
                              1,0)</f>
        <v>1</v>
      </c>
      <c r="AA115" s="309">
        <f>IF(
                   OR(VLOOKUP(AA$2,'TIS Site Config'!$A$3:$AQ$51,6,FALSE)="Heated",
                           VLOOKUP(AA$2,'TIS Site Config'!$A$3:$AQ$51,6,FALSE)="Extreme Heated"),
                              1,0)</f>
        <v>1</v>
      </c>
      <c r="AB115" s="212">
        <f>IF(
                   OR(VLOOKUP(AB$2,'TIS Site Config'!$A$3:$AQ$51,6,FALSE)="Heated",
                           VLOOKUP(AB$2,'TIS Site Config'!$A$3:$AQ$51,6,FALSE)="Extreme Heated"),
                              1,0)</f>
        <v>1</v>
      </c>
      <c r="AC115" s="309">
        <f>IF(
                   OR(VLOOKUP(AC$2,'TIS Site Config'!$A$3:$AQ$51,6,FALSE)="Heated",
                           VLOOKUP(AC$2,'TIS Site Config'!$A$3:$AQ$51,6,FALSE)="Extreme Heated"),
                              1,0)</f>
        <v>1</v>
      </c>
      <c r="AD115" s="213">
        <f>IF(
                   OR(VLOOKUP(AD$2,'TIS Site Config'!$A$3:$AQ$51,6,FALSE)="Heated",
                           VLOOKUP(AD$2,'TIS Site Config'!$A$3:$AQ$51,6,FALSE)="Extreme Heated"),
                              1,0)</f>
        <v>1</v>
      </c>
      <c r="AE115" s="213">
        <f>IF(
                   OR(VLOOKUP(AE$2,'TIS Site Config'!$A$3:$AQ$51,6,FALSE)="Heated",
                           VLOOKUP(AE$2,'TIS Site Config'!$A$3:$AQ$51,6,FALSE)="Extreme Heated"),
                              1,0)</f>
        <v>1</v>
      </c>
      <c r="AF115" s="39">
        <f>IF(
                   OR(VLOOKUP(AF$2,'TIS Site Config'!$A$3:$AQ$51,6,FALSE)="Heated",
                           VLOOKUP(AF$2,'TIS Site Config'!$A$3:$AQ$51,6,FALSE)="Extreme Heated"),
                              1,0)</f>
        <v>0</v>
      </c>
      <c r="AG115" s="309">
        <f>IF(
                   OR(VLOOKUP(AG$2,'TIS Site Config'!$A$3:$AQ$51,6,FALSE)="Heated",
                           VLOOKUP(AG$2,'TIS Site Config'!$A$3:$AQ$51,6,FALSE)="Extreme Heated"),
                              1,0)</f>
        <v>0</v>
      </c>
      <c r="AH115" s="212">
        <f>IF(
                   OR(VLOOKUP(AH$2,'TIS Site Config'!$A$3:$AQ$51,6,FALSE)="Heated",
                           VLOOKUP(AH$2,'TIS Site Config'!$A$3:$AQ$51,6,FALSE)="Extreme Heated"),
                              1,0)</f>
        <v>0</v>
      </c>
      <c r="AI115" s="134">
        <f>IF(
                   OR(VLOOKUP(AI$2,'TIS Site Config'!$A$3:$AQ$51,6,FALSE)="Heated",
                           VLOOKUP(AI$2,'TIS Site Config'!$A$3:$AQ$51,6,FALSE)="Extreme Heated"),
                              1,0)</f>
        <v>1</v>
      </c>
      <c r="AJ115" s="309">
        <f>IF(
                   OR(VLOOKUP(AJ$2,'TIS Site Config'!$A$3:$AQ$51,6,FALSE)="Heated",
                           VLOOKUP(AJ$2,'TIS Site Config'!$A$3:$AQ$51,6,FALSE)="Extreme Heated"),
                              1,0)</f>
        <v>1</v>
      </c>
      <c r="AK115" s="212">
        <f>IF(
                   OR(VLOOKUP(AK$2,'TIS Site Config'!$A$3:$AQ$51,6,FALSE)="Heated",
                           VLOOKUP(AK$2,'TIS Site Config'!$A$3:$AQ$51,6,FALSE)="Extreme Heated"),
                              1,0)</f>
        <v>1</v>
      </c>
      <c r="AL115" s="134">
        <f>IF(
                   OR(VLOOKUP(AL$2,'TIS Site Config'!$A$3:$AQ$51,6,FALSE)="Heated",
                           VLOOKUP(AL$2,'TIS Site Config'!$A$3:$AQ$51,6,FALSE)="Extreme Heated"),
                              1,0)</f>
        <v>1</v>
      </c>
      <c r="AM115" s="309">
        <f>IF(
                   OR(VLOOKUP(AM$2,'TIS Site Config'!$A$3:$AQ$51,6,FALSE)="Heated",
                           VLOOKUP(AM$2,'TIS Site Config'!$A$3:$AQ$51,6,FALSE)="Extreme Heated"),
                              1,0)</f>
        <v>1</v>
      </c>
      <c r="AN115" s="212">
        <f>IF(
                   OR(VLOOKUP(AN$2,'TIS Site Config'!$A$3:$AQ$51,6,FALSE)="Heated",
                           VLOOKUP(AN$2,'TIS Site Config'!$A$3:$AQ$51,6,FALSE)="Extreme Heated"),
                              1,0)</f>
        <v>1</v>
      </c>
      <c r="AO115" s="134">
        <f>IF(
                   OR(VLOOKUP(AO$2,'TIS Site Config'!$A$3:$AQ$51,6,FALSE)="Heated",
                           VLOOKUP(AO$2,'TIS Site Config'!$A$3:$AQ$51,6,FALSE)="Extreme Heated"),
                              1,0)</f>
        <v>1</v>
      </c>
      <c r="AP115" s="309">
        <f>IF(
                   OR(VLOOKUP(AP$2,'TIS Site Config'!$A$3:$AQ$51,6,FALSE)="Heated",
                           VLOOKUP(AP$2,'TIS Site Config'!$A$3:$AQ$51,6,FALSE)="Extreme Heated"),
                              1,0)</f>
        <v>1</v>
      </c>
      <c r="AQ115" s="134">
        <f>IF(
                   OR(VLOOKUP(AQ$2,'TIS Site Config'!$A$3:$AQ$51,6,FALSE)="Heated",
                           VLOOKUP(AQ$2,'TIS Site Config'!$A$3:$AQ$51,6,FALSE)="Extreme Heated"),
                              1,0)</f>
        <v>1</v>
      </c>
      <c r="AR115" s="134">
        <f>IF(
                   OR(VLOOKUP(AR$2,'TIS Site Config'!$A$3:$AQ$51,6,FALSE)="Heated",
                           VLOOKUP(AR$2,'TIS Site Config'!$A$3:$AQ$51,6,FALSE)="Extreme Heated"),
                              1,0)</f>
        <v>1</v>
      </c>
      <c r="AS115" s="309">
        <f>IF(
                   OR(VLOOKUP(AS$2,'TIS Site Config'!$A$3:$AQ$51,6,FALSE)="Heated",
                           VLOOKUP(AS$2,'TIS Site Config'!$A$3:$AQ$51,6,FALSE)="Extreme Heated"),
                              1,0)</f>
        <v>1</v>
      </c>
      <c r="AT115" s="134">
        <f>IF(
                   OR(VLOOKUP(AT$2,'TIS Site Config'!$A$3:$AQ$51,6,FALSE)="Heated",
                           VLOOKUP(AT$2,'TIS Site Config'!$A$3:$AQ$51,6,FALSE)="Extreme Heated"),
                              1,0)</f>
        <v>0</v>
      </c>
      <c r="AU115" s="309">
        <f>IF(
                   OR(VLOOKUP(AU$2,'TIS Site Config'!$A$3:$AQ$51,6,FALSE)="Heated",
                           VLOOKUP(AU$2,'TIS Site Config'!$A$3:$AQ$51,6,FALSE)="Extreme Heated"),
                              1,0)</f>
        <v>0</v>
      </c>
      <c r="AV115" s="134">
        <f>IF(
                   OR(VLOOKUP(AV$2,'TIS Site Config'!$A$3:$AQ$51,6,FALSE)="Heated",
                           VLOOKUP(AV$2,'TIS Site Config'!$A$3:$AQ$51,6,FALSE)="Extreme Heated"),
                              1,0)</f>
        <v>1</v>
      </c>
      <c r="AW115" s="134">
        <f>IF(
                   OR(VLOOKUP(AW$2,'TIS Site Config'!$A$3:$AQ$51,6,FALSE)="Heated",
                           VLOOKUP(AW$2,'TIS Site Config'!$A$3:$AQ$51,6,FALSE)="Extreme Heated"),
                              1,0)</f>
        <v>1</v>
      </c>
      <c r="AX115" s="212">
        <f>IF(
                   OR(VLOOKUP(AX$2,'TIS Site Config'!$A$3:$AQ$51,6,FALSE)="Heated",
                           VLOOKUP(AX$2,'TIS Site Config'!$A$3:$AQ$51,6,FALSE)="Extreme Heated"),
                              1,0)</f>
        <v>1</v>
      </c>
      <c r="AY115" s="134">
        <f>IF(
                   OR(VLOOKUP(AY$2,'TIS Site Config'!$A$3:$AQ$51,6,FALSE)="Heated",
                           VLOOKUP(AY$2,'TIS Site Config'!$A$3:$AQ$51,6,FALSE)="Extreme Heated"),
                              1,0)</f>
        <v>1</v>
      </c>
      <c r="AZ115" s="309">
        <f>IF(
                   OR(VLOOKUP(AZ$2,'TIS Site Config'!$A$3:$AQ$51,6,FALSE)="Heated",
                           VLOOKUP(AZ$2,'TIS Site Config'!$A$3:$AQ$51,6,FALSE)="Extreme Heated"),
                              1,0)</f>
        <v>1</v>
      </c>
      <c r="BA115" s="213">
        <f>IF(
                   OR(VLOOKUP(BA$2,'TIS Site Config'!$A$3:$AQ$51,6,FALSE)="Heated",
                           VLOOKUP(BA$2,'TIS Site Config'!$A$3:$AQ$51,6,FALSE)="Extreme Heated"),
                              1,0)</f>
        <v>1</v>
      </c>
      <c r="BB115" s="134">
        <f>IF(
                   OR(VLOOKUP(BB$2,'TIS Site Config'!$A$3:$AQ$51,6,FALSE)="Heated",
                           VLOOKUP(BB$2,'TIS Site Config'!$A$3:$AQ$51,6,FALSE)="Extreme Heated"),
                              1,0)</f>
        <v>1</v>
      </c>
      <c r="BC115" s="212">
        <f>IF(
                   OR(VLOOKUP(BC$2,'TIS Site Config'!$A$3:$AQ$51,6,FALSE)="Heated",
                           VLOOKUP(BC$2,'TIS Site Config'!$A$3:$AQ$51,6,FALSE)="Extreme Heated"),
                              1,0)</f>
        <v>1</v>
      </c>
      <c r="BD115" s="134">
        <f>IF(
                   OR(VLOOKUP(BD$2,'TIS Site Config'!$A$3:$AQ$51,6,FALSE)="Heated",
                           VLOOKUP(BD$2,'TIS Site Config'!$A$3:$AQ$51,6,FALSE)="Extreme Heated"),
                              1,0)</f>
        <v>1</v>
      </c>
      <c r="BE115" s="309">
        <f>IF(
                   OR(VLOOKUP(BE$2,'TIS Site Config'!$A$3:$AQ$51,6,FALSE)="Heated",
                           VLOOKUP(BE$2,'TIS Site Config'!$A$3:$AQ$51,6,FALSE)="Extreme Heated"),
                              1,0)</f>
        <v>1</v>
      </c>
      <c r="BF115" s="212">
        <f>IF(
                   OR(VLOOKUP(BF$2,'TIS Site Config'!$A$3:$AQ$51,6,FALSE)="Heated",
                           VLOOKUP(BF$2,'TIS Site Config'!$A$3:$AQ$51,6,FALSE)="Extreme Heated"),
                              1,0)</f>
        <v>1</v>
      </c>
      <c r="BG115" s="60">
        <f>IF(
                   OR(VLOOKUP(BG$2,'TIS Site Config'!$A$3:$AQ$51,6,FALSE)="Heated",
                           VLOOKUP(BG$2,'TIS Site Config'!$A$3:$AQ$51,6,FALSE)="Extreme Heated"),
                              1,0)</f>
        <v>0</v>
      </c>
      <c r="BH115" s="60">
        <f>IF(
                   OR(VLOOKUP(BH$2,'TIS Site Config'!$A$3:$AQ$51,6,FALSE)="Heated",
                           VLOOKUP(BH$2,'TIS Site Config'!$A$3:$AQ$51,6,FALSE)="Extreme Heated"),
                              1,0)</f>
        <v>1</v>
      </c>
      <c r="BK115" s="44">
        <v>45</v>
      </c>
      <c r="BL115" s="950" t="b">
        <f t="shared" si="9"/>
        <v>0</v>
      </c>
      <c r="BO115" s="950"/>
    </row>
    <row r="116" spans="1:67" s="44" customFormat="1" x14ac:dyDescent="0.25">
      <c r="A116" s="1366"/>
      <c r="B116" s="1374"/>
      <c r="C116" s="59" t="s">
        <v>563</v>
      </c>
      <c r="D116" s="90">
        <v>3</v>
      </c>
      <c r="E116" s="84" t="s">
        <v>564</v>
      </c>
      <c r="F116" s="60">
        <f t="shared" si="5"/>
        <v>161</v>
      </c>
      <c r="G116" s="459"/>
      <c r="H116" s="460"/>
      <c r="I116" s="460"/>
      <c r="J116" s="460"/>
      <c r="K116" s="461"/>
      <c r="L116" s="494"/>
      <c r="M116" s="134">
        <f>IF(VLOOKUP(M$2,'TIS Site Config'!$A$4:$AQ$51,3,FALSE)&lt;&gt;"Soft",
          IF(VLOOKUP(M$2,'TIS Site Config'!$A$3:$AQ$51,1,FALSE)&lt;&gt;"WREF",
           VLOOKUP(M$2,'Tower configuration'!$A$4:$DM$51,114,FALSE)+VLOOKUP(M$2,'Tower configuration'!$A$4:$DM$51,115,FALSE),0),0)</f>
        <v>5</v>
      </c>
      <c r="N116" s="212">
        <f>IF(VLOOKUP(N$2,'TIS Site Config'!$A$4:$AQ$51,3,FALSE)&lt;&gt;"Soft",
          IF(VLOOKUP(N$2,'TIS Site Config'!$A$3:$AQ$51,1,FALSE)&lt;&gt;"WREF",
           VLOOKUP(N$2,'Tower configuration'!$A$4:$DM$51,114,FALSE)+VLOOKUP(N$2,'Tower configuration'!$A$4:$DM$51,115,FALSE),0),0)</f>
        <v>5</v>
      </c>
      <c r="O116" s="215">
        <f>IF(VLOOKUP(O$2,'TIS Site Config'!$A$4:$AQ$51,3,FALSE)&lt;&gt;"Soft",
          IF(VLOOKUP(O$2,'TIS Site Config'!$A$3:$AQ$51,1,FALSE)&lt;&gt;"WREF",
           VLOOKUP(O$2,'Tower configuration'!$A$4:$DM$51,114,FALSE)+VLOOKUP(O$2,'Tower configuration'!$A$4:$DM$51,115,FALSE),0),0)</f>
        <v>5</v>
      </c>
      <c r="P116" s="309">
        <f>IF(VLOOKUP(P$2,'TIS Site Config'!$A$4:$AQ$51,3,FALSE)&lt;&gt;"Soft",
          IF(VLOOKUP(P$2,'TIS Site Config'!$A$3:$AQ$51,1,FALSE)&lt;&gt;"WREF",
           VLOOKUP(P$2,'Tower configuration'!$A$4:$DM$51,114,FALSE)+VLOOKUP(P$2,'Tower configuration'!$A$4:$DM$51,115,FALSE),0),0)</f>
        <v>3</v>
      </c>
      <c r="Q116" s="212">
        <f>IF(VLOOKUP(Q$2,'TIS Site Config'!$A$4:$AQ$51,3,FALSE)&lt;&gt;"Soft",
          IF(VLOOKUP(Q$2,'TIS Site Config'!$A$3:$AQ$51,1,FALSE)&lt;&gt;"WREF",
           VLOOKUP(Q$2,'Tower configuration'!$A$4:$DM$51,114,FALSE)+VLOOKUP(Q$2,'Tower configuration'!$A$4:$DM$51,115,FALSE),0),0)</f>
        <v>3</v>
      </c>
      <c r="R116" s="134">
        <f>IF(VLOOKUP(R$2,'TIS Site Config'!$A$4:$AQ$51,3,FALSE)&lt;&gt;"Soft",
          IF(VLOOKUP(R$2,'TIS Site Config'!$A$3:$AQ$51,1,FALSE)&lt;&gt;"WREF",
           VLOOKUP(R$2,'Tower configuration'!$A$4:$DM$51,114,FALSE)+VLOOKUP(R$2,'Tower configuration'!$A$4:$DM$51,115,FALSE),0),0)</f>
        <v>5</v>
      </c>
      <c r="S116" s="309">
        <f>IF(VLOOKUP(S$2,'TIS Site Config'!$A$4:$AQ$51,3,FALSE)&lt;&gt;"Soft",
          IF(VLOOKUP(S$2,'TIS Site Config'!$A$3:$AQ$51,1,FALSE)&lt;&gt;"WREF",
           VLOOKUP(S$2,'Tower configuration'!$A$4:$DM$51,114,FALSE)+VLOOKUP(S$2,'Tower configuration'!$A$4:$DM$51,115,FALSE),0),0)</f>
        <v>3</v>
      </c>
      <c r="T116" s="212">
        <f>IF(VLOOKUP(T$2,'TIS Site Config'!$A$4:$AQ$51,3,FALSE)&lt;&gt;"Soft",
          IF(VLOOKUP(T$2,'TIS Site Config'!$A$3:$AQ$51,1,FALSE)&lt;&gt;"WREF",
           VLOOKUP(T$2,'Tower configuration'!$A$4:$DM$51,114,FALSE)+VLOOKUP(T$2,'Tower configuration'!$A$4:$DM$51,115,FALSE),0),0)</f>
        <v>4</v>
      </c>
      <c r="U116" s="134">
        <f>IF(VLOOKUP(U$2,'TIS Site Config'!$A$4:$AQ$51,3,FALSE)&lt;&gt;"Soft",
          IF(VLOOKUP(U$2,'TIS Site Config'!$A$3:$AQ$51,1,FALSE)&lt;&gt;"WREF",
           VLOOKUP(U$2,'Tower configuration'!$A$4:$DM$51,114,FALSE)+VLOOKUP(U$2,'Tower configuration'!$A$4:$DM$51,115,FALSE),0),0)</f>
        <v>4</v>
      </c>
      <c r="V116" s="212">
        <f>IF(VLOOKUP(V$2,'TIS Site Config'!$A$4:$AQ$51,3,FALSE)&lt;&gt;"Soft",
          IF(VLOOKUP(V$2,'TIS Site Config'!$A$3:$AQ$51,1,FALSE)&lt;&gt;"WREF",
           VLOOKUP(V$2,'Tower configuration'!$A$4:$DM$51,114,FALSE)+VLOOKUP(V$2,'Tower configuration'!$A$4:$DM$51,115,FALSE),0),0)</f>
        <v>3</v>
      </c>
      <c r="W116" s="214">
        <f>IF(VLOOKUP(W$2,'TIS Site Config'!$A$4:$AQ$51,3,FALSE)&lt;&gt;"Soft",
          IF(VLOOKUP(W$2,'TIS Site Config'!$A$3:$AQ$51,1,FALSE)&lt;&gt;"WREF",
           VLOOKUP(W$2,'Tower configuration'!$A$4:$DM$51,114,FALSE)+VLOOKUP(W$2,'Tower configuration'!$A$4:$DM$51,115,FALSE),0),0)</f>
        <v>5</v>
      </c>
      <c r="X116" s="309">
        <f>IF(VLOOKUP(X$2,'TIS Site Config'!$A$4:$AQ$51,3,FALSE)&lt;&gt;"Soft",
          IF(VLOOKUP(X$2,'TIS Site Config'!$A$3:$AQ$51,1,FALSE)&lt;&gt;"WREF",
           VLOOKUP(X$2,'Tower configuration'!$A$4:$DM$51,114,FALSE)+VLOOKUP(X$2,'Tower configuration'!$A$4:$DM$51,115,FALSE),0),0)</f>
        <v>2</v>
      </c>
      <c r="Y116" s="212">
        <f>IF(VLOOKUP(Y$2,'TIS Site Config'!$A$4:$AQ$51,3,FALSE)&lt;&gt;"Soft",
          IF(VLOOKUP(Y$2,'TIS Site Config'!$A$3:$AQ$51,1,FALSE)&lt;&gt;"WREF",
           VLOOKUP(Y$2,'Tower configuration'!$A$4:$DM$51,114,FALSE)+VLOOKUP(Y$2,'Tower configuration'!$A$4:$DM$51,115,FALSE),0),0)</f>
        <v>5</v>
      </c>
      <c r="Z116" s="134">
        <f>IF(VLOOKUP(Z$2,'TIS Site Config'!$A$4:$AQ$51,3,FALSE)&lt;&gt;"Soft",
          IF(VLOOKUP(Z$2,'TIS Site Config'!$A$3:$AQ$51,1,FALSE)&lt;&gt;"WREF",
           VLOOKUP(Z$2,'Tower configuration'!$A$4:$DM$51,114,FALSE)+VLOOKUP(Z$2,'Tower configuration'!$A$4:$DM$51,115,FALSE),0),0)</f>
        <v>3</v>
      </c>
      <c r="AA116" s="309">
        <f>IF(VLOOKUP(AA$2,'TIS Site Config'!$A$4:$AQ$51,3,FALSE)&lt;&gt;"Soft",
          IF(VLOOKUP(AA$2,'TIS Site Config'!$A$3:$AQ$51,1,FALSE)&lt;&gt;"WREF",
           VLOOKUP(AA$2,'Tower configuration'!$A$4:$DM$51,114,FALSE)+VLOOKUP(AA$2,'Tower configuration'!$A$4:$DM$51,115,FALSE),0),0)</f>
        <v>5</v>
      </c>
      <c r="AB116" s="212">
        <f>IF(VLOOKUP(AB$2,'TIS Site Config'!$A$4:$AQ$51,3,FALSE)&lt;&gt;"Soft",
          IF(VLOOKUP(AB$2,'TIS Site Config'!$A$3:$AQ$51,1,FALSE)&lt;&gt;"WREF",
           VLOOKUP(AB$2,'Tower configuration'!$A$4:$DM$51,114,FALSE)+VLOOKUP(AB$2,'Tower configuration'!$A$4:$DM$51,115,FALSE),0),0)</f>
        <v>3</v>
      </c>
      <c r="AC116" s="309">
        <f>IF(VLOOKUP(AC$2,'TIS Site Config'!$A$4:$AQ$51,3,FALSE)&lt;&gt;"Soft",
          IF(VLOOKUP(AC$2,'TIS Site Config'!$A$3:$AQ$51,1,FALSE)&lt;&gt;"WREF",
           VLOOKUP(AC$2,'Tower configuration'!$A$4:$DM$51,114,FALSE)+VLOOKUP(AC$2,'Tower configuration'!$A$4:$DM$51,115,FALSE),0),0)</f>
        <v>5</v>
      </c>
      <c r="AD116" s="213">
        <f>IF(VLOOKUP(AD$2,'TIS Site Config'!$A$4:$AQ$51,3,FALSE)&lt;&gt;"Soft",
          IF(VLOOKUP(AD$2,'TIS Site Config'!$A$3:$AQ$51,1,FALSE)&lt;&gt;"WREF",
           VLOOKUP(AD$2,'Tower configuration'!$A$4:$DM$51,114,FALSE)+VLOOKUP(AD$2,'Tower configuration'!$A$4:$DM$51,115,FALSE),0),0)</f>
        <v>5</v>
      </c>
      <c r="AE116" s="213">
        <f>IF(VLOOKUP(AE$2,'TIS Site Config'!$A$4:$AQ$51,3,FALSE)&lt;&gt;"Soft",
          IF(VLOOKUP(AE$2,'TIS Site Config'!$A$3:$AQ$51,1,FALSE)&lt;&gt;"WREF",
           VLOOKUP(AE$2,'Tower configuration'!$A$4:$DM$51,114,FALSE)+VLOOKUP(AE$2,'Tower configuration'!$A$4:$DM$51,115,FALSE),0),0)</f>
        <v>5</v>
      </c>
      <c r="AF116" s="39">
        <f>IF(VLOOKUP(AF$2,'TIS Site Config'!$A$4:$AQ$51,3,FALSE)&lt;&gt;"Soft",
          IF(VLOOKUP(AF$2,'TIS Site Config'!$A$3:$AQ$51,1,FALSE)&lt;&gt;"WREF",
           VLOOKUP(AF$2,'Tower configuration'!$A$4:$DM$51,114,FALSE)+VLOOKUP(AF$2,'Tower configuration'!$A$4:$DM$51,115,FALSE),0),0)</f>
        <v>4</v>
      </c>
      <c r="AG116" s="309">
        <f>IF(VLOOKUP(AG$2,'TIS Site Config'!$A$4:$AQ$51,3,FALSE)&lt;&gt;"Soft",
          IF(VLOOKUP(AG$2,'TIS Site Config'!$A$3:$AQ$51,1,FALSE)&lt;&gt;"WREF",
           VLOOKUP(AG$2,'Tower configuration'!$A$4:$DM$51,114,FALSE)+VLOOKUP(AG$2,'Tower configuration'!$A$4:$DM$51,115,FALSE),0),0)</f>
        <v>5</v>
      </c>
      <c r="AH116" s="212">
        <f>IF(VLOOKUP(AH$2,'TIS Site Config'!$A$4:$AQ$51,3,FALSE)&lt;&gt;"Soft",
          IF(VLOOKUP(AH$2,'TIS Site Config'!$A$3:$AQ$51,1,FALSE)&lt;&gt;"WREF",
           VLOOKUP(AH$2,'Tower configuration'!$A$4:$DM$51,114,FALSE)+VLOOKUP(AH$2,'Tower configuration'!$A$4:$DM$51,115,FALSE),0),0)</f>
        <v>2</v>
      </c>
      <c r="AI116" s="134">
        <f>IF(VLOOKUP(AI$2,'TIS Site Config'!$A$4:$AQ$51,3,FALSE)&lt;&gt;"Soft",
          IF(VLOOKUP(AI$2,'TIS Site Config'!$A$3:$AQ$51,1,FALSE)&lt;&gt;"WREF",
           VLOOKUP(AI$2,'Tower configuration'!$A$4:$DM$51,114,FALSE)+VLOOKUP(AI$2,'Tower configuration'!$A$4:$DM$51,115,FALSE),0),0)</f>
        <v>3</v>
      </c>
      <c r="AJ116" s="309">
        <f>IF(VLOOKUP(AJ$2,'TIS Site Config'!$A$4:$AQ$51,3,FALSE)&lt;&gt;"Soft",
          IF(VLOOKUP(AJ$2,'TIS Site Config'!$A$3:$AQ$51,1,FALSE)&lt;&gt;"WREF",
           VLOOKUP(AJ$2,'Tower configuration'!$A$4:$DM$51,114,FALSE)+VLOOKUP(AJ$2,'Tower configuration'!$A$4:$DM$51,115,FALSE),0),0)</f>
        <v>3</v>
      </c>
      <c r="AK116" s="212">
        <f>IF(VLOOKUP(AK$2,'TIS Site Config'!$A$4:$AQ$51,3,FALSE)&lt;&gt;"Soft",
          IF(VLOOKUP(AK$2,'TIS Site Config'!$A$3:$AQ$51,1,FALSE)&lt;&gt;"WREF",
           VLOOKUP(AK$2,'Tower configuration'!$A$4:$DM$51,114,FALSE)+VLOOKUP(AK$2,'Tower configuration'!$A$4:$DM$51,115,FALSE),0),0)</f>
        <v>3</v>
      </c>
      <c r="AL116" s="134">
        <f>IF(VLOOKUP(AL$2,'TIS Site Config'!$A$4:$AQ$51,3,FALSE)&lt;&gt;"Soft",
          IF(VLOOKUP(AL$2,'TIS Site Config'!$A$3:$AQ$51,1,FALSE)&lt;&gt;"WREF",
           VLOOKUP(AL$2,'Tower configuration'!$A$4:$DM$51,114,FALSE)+VLOOKUP(AL$2,'Tower configuration'!$A$4:$DM$51,115,FALSE),0),0)</f>
        <v>3</v>
      </c>
      <c r="AM116" s="309">
        <f>IF(VLOOKUP(AM$2,'TIS Site Config'!$A$4:$AQ$51,3,FALSE)&lt;&gt;"Soft",
          IF(VLOOKUP(AM$2,'TIS Site Config'!$A$3:$AQ$51,1,FALSE)&lt;&gt;"WREF",
           VLOOKUP(AM$2,'Tower configuration'!$A$4:$DM$51,114,FALSE)+VLOOKUP(AM$2,'Tower configuration'!$A$4:$DM$51,115,FALSE),0),0)</f>
        <v>3</v>
      </c>
      <c r="AN116" s="212">
        <f>IF(VLOOKUP(AN$2,'TIS Site Config'!$A$4:$AQ$51,3,FALSE)&lt;&gt;"Soft",
          IF(VLOOKUP(AN$2,'TIS Site Config'!$A$3:$AQ$51,1,FALSE)&lt;&gt;"WREF",
           VLOOKUP(AN$2,'Tower configuration'!$A$4:$DM$51,114,FALSE)+VLOOKUP(AN$2,'Tower configuration'!$A$4:$DM$51,115,FALSE),0),0)</f>
        <v>1</v>
      </c>
      <c r="AO116" s="134">
        <f>IF(VLOOKUP(AO$2,'TIS Site Config'!$A$4:$AQ$51,3,FALSE)&lt;&gt;"Soft",
          IF(VLOOKUP(AO$2,'TIS Site Config'!$A$3:$AQ$51,1,FALSE)&lt;&gt;"WREF",
           VLOOKUP(AO$2,'Tower configuration'!$A$4:$DM$51,114,FALSE)+VLOOKUP(AO$2,'Tower configuration'!$A$4:$DM$51,115,FALSE),0),0)</f>
        <v>4</v>
      </c>
      <c r="AP116" s="309">
        <f>IF(VLOOKUP(AP$2,'TIS Site Config'!$A$4:$AQ$51,3,FALSE)&lt;&gt;"Soft",
          IF(VLOOKUP(AP$2,'TIS Site Config'!$A$3:$AQ$51,1,FALSE)&lt;&gt;"WREF",
           VLOOKUP(AP$2,'Tower configuration'!$A$4:$DM$51,114,FALSE)+VLOOKUP(AP$2,'Tower configuration'!$A$4:$DM$51,115,FALSE),0),0)</f>
        <v>3</v>
      </c>
      <c r="AQ116" s="134">
        <f>IF(VLOOKUP(AQ$2,'TIS Site Config'!$A$4:$AQ$51,3,FALSE)&lt;&gt;"Soft",
          IF(VLOOKUP(AQ$2,'TIS Site Config'!$A$3:$AQ$51,1,FALSE)&lt;&gt;"WREF",
           VLOOKUP(AQ$2,'Tower configuration'!$A$4:$DM$51,114,FALSE)+VLOOKUP(AQ$2,'Tower configuration'!$A$4:$DM$51,115,FALSE),0),0)</f>
        <v>2</v>
      </c>
      <c r="AR116" s="134">
        <f>IF(VLOOKUP(AR$2,'TIS Site Config'!$A$4:$AQ$51,3,FALSE)&lt;&gt;"Soft",
          IF(VLOOKUP(AR$2,'TIS Site Config'!$A$3:$AQ$51,1,FALSE)&lt;&gt;"WREF",
           VLOOKUP(AR$2,'Tower configuration'!$A$4:$DM$51,114,FALSE)+VLOOKUP(AR$2,'Tower configuration'!$A$4:$DM$51,115,FALSE),0),0)</f>
        <v>1</v>
      </c>
      <c r="AS116" s="309">
        <f>IF(VLOOKUP(AS$2,'TIS Site Config'!$A$4:$AQ$51,3,FALSE)&lt;&gt;"Soft",
          IF(VLOOKUP(AS$2,'TIS Site Config'!$A$3:$AQ$51,1,FALSE)&lt;&gt;"WREF",
           VLOOKUP(AS$2,'Tower configuration'!$A$4:$DM$51,114,FALSE)+VLOOKUP(AS$2,'Tower configuration'!$A$4:$DM$51,115,FALSE),0),0)</f>
        <v>3</v>
      </c>
      <c r="AT116" s="134">
        <f>IF(VLOOKUP(AT$2,'TIS Site Config'!$A$4:$AQ$51,3,FALSE)&lt;&gt;"Soft",
          IF(VLOOKUP(AT$2,'TIS Site Config'!$A$3:$AQ$51,1,FALSE)&lt;&gt;"WREF",
           VLOOKUP(AT$2,'Tower configuration'!$A$4:$DM$51,114,FALSE)+VLOOKUP(AT$2,'Tower configuration'!$A$4:$DM$51,115,FALSE),0),0)</f>
        <v>3</v>
      </c>
      <c r="AU116" s="309">
        <f>IF(VLOOKUP(AU$2,'TIS Site Config'!$A$4:$AQ$51,3,FALSE)&lt;&gt;"Soft",
          IF(VLOOKUP(AU$2,'TIS Site Config'!$A$3:$AQ$51,1,FALSE)&lt;&gt;"WREF",
           VLOOKUP(AU$2,'Tower configuration'!$A$4:$DM$51,114,FALSE)+VLOOKUP(AU$2,'Tower configuration'!$A$4:$DM$51,115,FALSE),0),0)</f>
        <v>3</v>
      </c>
      <c r="AV116" s="134">
        <f>IF(VLOOKUP(AV$2,'TIS Site Config'!$A$4:$AQ$51,3,FALSE)&lt;&gt;"Soft",
          IF(VLOOKUP(AV$2,'TIS Site Config'!$A$3:$AQ$51,1,FALSE)&lt;&gt;"WREF",
           VLOOKUP(AV$2,'Tower configuration'!$A$4:$DM$51,114,FALSE)+VLOOKUP(AV$2,'Tower configuration'!$A$4:$DM$51,115,FALSE),0),0)</f>
        <v>3</v>
      </c>
      <c r="AW116" s="134">
        <f>IF(VLOOKUP(AW$2,'TIS Site Config'!$A$4:$AQ$51,3,FALSE)&lt;&gt;"Soft",
          IF(VLOOKUP(AW$2,'TIS Site Config'!$A$3:$AQ$51,1,FALSE)&lt;&gt;"WREF",
           VLOOKUP(AW$2,'Tower configuration'!$A$4:$DM$51,114,FALSE)+VLOOKUP(AW$2,'Tower configuration'!$A$4:$DM$51,115,FALSE),0),0)</f>
        <v>0</v>
      </c>
      <c r="AX116" s="212">
        <f>IF(VLOOKUP(AX$2,'TIS Site Config'!$A$4:$AQ$51,3,FALSE)&lt;&gt;"Soft",
          IF(VLOOKUP(AX$2,'TIS Site Config'!$A$3:$AQ$51,1,FALSE)&lt;&gt;"WREF",
           VLOOKUP(AX$2,'Tower configuration'!$A$4:$DM$51,114,FALSE)+VLOOKUP(AX$2,'Tower configuration'!$A$4:$DM$51,115,FALSE),0),0)</f>
        <v>2</v>
      </c>
      <c r="AY116" s="134">
        <f>IF(VLOOKUP(AY$2,'TIS Site Config'!$A$4:$AQ$51,3,FALSE)&lt;&gt;"Soft",
          IF(VLOOKUP(AY$2,'TIS Site Config'!$A$3:$AQ$51,1,FALSE)&lt;&gt;"WREF",
           VLOOKUP(AY$2,'Tower configuration'!$A$4:$DM$51,114,FALSE)+VLOOKUP(AY$2,'Tower configuration'!$A$4:$DM$51,115,FALSE),0),0)</f>
        <v>5</v>
      </c>
      <c r="AZ116" s="309">
        <f>IF(VLOOKUP(AZ$2,'TIS Site Config'!$A$4:$AQ$51,3,FALSE)&lt;&gt;"Soft",
          IF(VLOOKUP(AZ$2,'TIS Site Config'!$A$3:$AQ$51,1,FALSE)&lt;&gt;"WREF",
           VLOOKUP(AZ$2,'Tower configuration'!$A$4:$DM$51,114,FALSE)+VLOOKUP(AZ$2,'Tower configuration'!$A$4:$DM$51,115,FALSE),0),0)</f>
        <v>4</v>
      </c>
      <c r="BA116" s="213">
        <f>IF(VLOOKUP(BA$2,'TIS Site Config'!$A$4:$AQ$51,3,FALSE)&lt;&gt;"Soft",
          IF(VLOOKUP(BA$2,'TIS Site Config'!$A$3:$AQ$51,1,FALSE)&lt;&gt;"WREF",
           VLOOKUP(BA$2,'Tower configuration'!$A$4:$DM$51,114,FALSE)+VLOOKUP(BA$2,'Tower configuration'!$A$4:$DM$51,115,FALSE),0),0)</f>
        <v>3</v>
      </c>
      <c r="BB116" s="134">
        <f>IF(VLOOKUP(BB$2,'TIS Site Config'!$A$4:$AQ$51,3,FALSE)&lt;&gt;"Soft",
          IF(VLOOKUP(BB$2,'TIS Site Config'!$A$3:$AQ$51,1,FALSE)&lt;&gt;"WREF",
           VLOOKUP(BB$2,'Tower configuration'!$A$4:$DM$51,114,FALSE)+VLOOKUP(BB$2,'Tower configuration'!$A$4:$DM$51,115,FALSE),0),0)</f>
        <v>3</v>
      </c>
      <c r="BC116" s="212">
        <f>IF(VLOOKUP(BC$2,'TIS Site Config'!$A$4:$AQ$51,3,FALSE)&lt;&gt;"Soft",
          IF(VLOOKUP(BC$2,'TIS Site Config'!$A$3:$AQ$51,1,FALSE)&lt;&gt;"WREF",
           VLOOKUP(BC$2,'Tower configuration'!$A$4:$DM$51,114,FALSE)+VLOOKUP(BC$2,'Tower configuration'!$A$4:$DM$51,115,FALSE),0),0)</f>
        <v>2</v>
      </c>
      <c r="BD116" s="134">
        <f>IF(VLOOKUP(BD$2,'TIS Site Config'!$A$4:$AQ$51,3,FALSE)&lt;&gt;"Soft",
          IF(VLOOKUP(BD$2,'TIS Site Config'!$A$3:$AQ$51,1,FALSE)&lt;&gt;"WREF",
           VLOOKUP(BD$2,'Tower configuration'!$A$4:$DM$51,114,FALSE)+VLOOKUP(BD$2,'Tower configuration'!$A$4:$DM$51,115,FALSE),0),0)</f>
        <v>3</v>
      </c>
      <c r="BE116" s="309">
        <f>IF(VLOOKUP(BE$2,'TIS Site Config'!$A$4:$AQ$51,3,FALSE)&lt;&gt;"Soft",
          IF(VLOOKUP(BE$2,'TIS Site Config'!$A$3:$AQ$51,1,FALSE)&lt;&gt;"WREF",
           VLOOKUP(BE$2,'Tower configuration'!$A$4:$DM$51,114,FALSE)+VLOOKUP(BE$2,'Tower configuration'!$A$4:$DM$51,115,FALSE),0),0)</f>
        <v>4</v>
      </c>
      <c r="BF116" s="212">
        <f>IF(VLOOKUP(BF$2,'TIS Site Config'!$A$4:$AQ$51,3,FALSE)&lt;&gt;"Soft",
          IF(VLOOKUP(BF$2,'TIS Site Config'!$A$3:$AQ$51,1,FALSE)&lt;&gt;"WREF",
           VLOOKUP(BF$2,'Tower configuration'!$A$4:$DM$51,114,FALSE)+VLOOKUP(BF$2,'Tower configuration'!$A$4:$DM$51,115,FALSE),0),0)</f>
        <v>3</v>
      </c>
      <c r="BG116" s="60">
        <f>IF(VLOOKUP(BG$2,'TIS Site Config'!$A$4:$AQ$51,3,FALSE)&lt;&gt;"Soft",
          IF(VLOOKUP(BG$2,'TIS Site Config'!$A$3:$AQ$51,1,FALSE)&lt;&gt;"WREF",
           VLOOKUP(BG$2,'Tower configuration'!$A$4:$DM$51,114,FALSE)+VLOOKUP(BG$2,'Tower configuration'!$A$4:$DM$51,115,FALSE),0),0)</f>
        <v>5</v>
      </c>
      <c r="BH116" s="60">
        <f>IF(VLOOKUP(BH$2,'TIS Site Config'!$A$4:$AQ$51,3,FALSE)&lt;&gt;"Soft",
          IF(VLOOKUP(BH$2,'TIS Site Config'!$A$3:$AQ$51,1,FALSE)&lt;&gt;"WREF",
           VLOOKUP(BH$2,'Tower configuration'!$A$4:$DM$51,114,FALSE)+VLOOKUP(BH$2,'Tower configuration'!$A$4:$DM$51,115,FALSE),0),0)</f>
        <v>3</v>
      </c>
      <c r="BI116" s="437" t="s">
        <v>972</v>
      </c>
      <c r="BK116" s="44">
        <v>193</v>
      </c>
      <c r="BL116" s="950" t="b">
        <f t="shared" si="9"/>
        <v>0</v>
      </c>
      <c r="BO116" s="950"/>
    </row>
    <row r="117" spans="1:67" s="44" customFormat="1" x14ac:dyDescent="0.25">
      <c r="A117" s="1366"/>
      <c r="B117" s="1374"/>
      <c r="C117" s="59" t="s">
        <v>565</v>
      </c>
      <c r="D117" s="90">
        <v>3</v>
      </c>
      <c r="E117" s="84" t="s">
        <v>566</v>
      </c>
      <c r="F117" s="60">
        <f t="shared" si="5"/>
        <v>25</v>
      </c>
      <c r="G117" s="459"/>
      <c r="H117" s="460"/>
      <c r="I117" s="460"/>
      <c r="J117" s="460"/>
      <c r="K117" s="461"/>
      <c r="L117" s="494"/>
      <c r="M117" s="134">
        <f>IF(VLOOKUP(M$2,'TIS Site Config'!$A$4:$AQ$51,3,FALSE)&lt;&gt;"Soft",
          IF(VLOOKUP(M$2,'TIS Site Config'!$A$3:$AQ$51,1,FALSE)&lt;&gt;"WREF",
           VLOOKUP(M$2,'Tower configuration'!$A$4:$DM$51,113,FALSE),0),0)</f>
        <v>0</v>
      </c>
      <c r="N117" s="212">
        <f>IF(VLOOKUP(N$2,'TIS Site Config'!$A$4:$AQ$51,3,FALSE)&lt;&gt;"Soft",
          IF(VLOOKUP(N$2,'TIS Site Config'!$A$3:$AQ$51,1,FALSE)&lt;&gt;"WREF",
           VLOOKUP(N$2,'Tower configuration'!$A$4:$DM$51,113,FALSE),0),0)</f>
        <v>0</v>
      </c>
      <c r="O117" s="215">
        <f>IF(VLOOKUP(O$2,'TIS Site Config'!$A$4:$AQ$51,3,FALSE)&lt;&gt;"Soft",
          IF(VLOOKUP(O$2,'TIS Site Config'!$A$3:$AQ$51,1,FALSE)&lt;&gt;"WREF",
           VLOOKUP(O$2,'Tower configuration'!$A$4:$DM$51,113,FALSE),0),0)</f>
        <v>0</v>
      </c>
      <c r="P117" s="309">
        <f>IF(VLOOKUP(P$2,'TIS Site Config'!$A$4:$AQ$51,3,FALSE)&lt;&gt;"Soft",
          IF(VLOOKUP(P$2,'TIS Site Config'!$A$3:$AQ$51,1,FALSE)&lt;&gt;"WREF",
           VLOOKUP(P$2,'Tower configuration'!$A$4:$DM$51,113,FALSE),0),0)</f>
        <v>2</v>
      </c>
      <c r="Q117" s="212">
        <f>IF(VLOOKUP(Q$2,'TIS Site Config'!$A$4:$AQ$51,3,FALSE)&lt;&gt;"Soft",
          IF(VLOOKUP(Q$2,'TIS Site Config'!$A$3:$AQ$51,1,FALSE)&lt;&gt;"WREF",
           VLOOKUP(Q$2,'Tower configuration'!$A$4:$DM$51,113,FALSE),0),0)</f>
        <v>0</v>
      </c>
      <c r="R117" s="134">
        <f>IF(VLOOKUP(R$2,'TIS Site Config'!$A$4:$AQ$51,3,FALSE)&lt;&gt;"Soft",
          IF(VLOOKUP(R$2,'TIS Site Config'!$A$3:$AQ$51,1,FALSE)&lt;&gt;"WREF",
           VLOOKUP(R$2,'Tower configuration'!$A$4:$DM$51,113,FALSE),0),0)</f>
        <v>0</v>
      </c>
      <c r="S117" s="309">
        <f>IF(VLOOKUP(S$2,'TIS Site Config'!$A$4:$AQ$51,3,FALSE)&lt;&gt;"Soft",
          IF(VLOOKUP(S$2,'TIS Site Config'!$A$3:$AQ$51,1,FALSE)&lt;&gt;"WREF",
           VLOOKUP(S$2,'Tower configuration'!$A$4:$DM$51,113,FALSE),0),0)</f>
        <v>0</v>
      </c>
      <c r="T117" s="212">
        <f>IF(VLOOKUP(T$2,'TIS Site Config'!$A$4:$AQ$51,3,FALSE)&lt;&gt;"Soft",
          IF(VLOOKUP(T$2,'TIS Site Config'!$A$3:$AQ$51,1,FALSE)&lt;&gt;"WREF",
           VLOOKUP(T$2,'Tower configuration'!$A$4:$DM$51,113,FALSE),0),0)</f>
        <v>1</v>
      </c>
      <c r="U117" s="134">
        <f>IF(VLOOKUP(U$2,'TIS Site Config'!$A$4:$AQ$51,3,FALSE)&lt;&gt;"Soft",
          IF(VLOOKUP(U$2,'TIS Site Config'!$A$3:$AQ$51,1,FALSE)&lt;&gt;"WREF",
           VLOOKUP(U$2,'Tower configuration'!$A$4:$DM$51,113,FALSE),0),0)</f>
        <v>0</v>
      </c>
      <c r="V117" s="212">
        <f>IF(VLOOKUP(V$2,'TIS Site Config'!$A$4:$AQ$51,3,FALSE)&lt;&gt;"Soft",
          IF(VLOOKUP(V$2,'TIS Site Config'!$A$3:$AQ$51,1,FALSE)&lt;&gt;"WREF",
           VLOOKUP(V$2,'Tower configuration'!$A$4:$DM$51,113,FALSE),0),0)</f>
        <v>0</v>
      </c>
      <c r="W117" s="214">
        <f>IF(VLOOKUP(W$2,'TIS Site Config'!$A$4:$AQ$51,3,FALSE)&lt;&gt;"Soft",
          IF(VLOOKUP(W$2,'TIS Site Config'!$A$3:$AQ$51,1,FALSE)&lt;&gt;"WREF",
           VLOOKUP(W$2,'Tower configuration'!$A$4:$DM$51,113,FALSE),0),0)</f>
        <v>0</v>
      </c>
      <c r="X117" s="309">
        <f>IF(VLOOKUP(X$2,'TIS Site Config'!$A$4:$AQ$51,3,FALSE)&lt;&gt;"Soft",
          IF(VLOOKUP(X$2,'TIS Site Config'!$A$3:$AQ$51,1,FALSE)&lt;&gt;"WREF",
           VLOOKUP(X$2,'Tower configuration'!$A$4:$DM$51,113,FALSE),0),0)</f>
        <v>3</v>
      </c>
      <c r="Y117" s="212">
        <f>IF(VLOOKUP(Y$2,'TIS Site Config'!$A$4:$AQ$51,3,FALSE)&lt;&gt;"Soft",
          IF(VLOOKUP(Y$2,'TIS Site Config'!$A$3:$AQ$51,1,FALSE)&lt;&gt;"WREF",
           VLOOKUP(Y$2,'Tower configuration'!$A$4:$DM$51,113,FALSE),0),0)</f>
        <v>0</v>
      </c>
      <c r="Z117" s="134">
        <f>IF(VLOOKUP(Z$2,'TIS Site Config'!$A$4:$AQ$51,3,FALSE)&lt;&gt;"Soft",
          IF(VLOOKUP(Z$2,'TIS Site Config'!$A$3:$AQ$51,1,FALSE)&lt;&gt;"WREF",
           VLOOKUP(Z$2,'Tower configuration'!$A$4:$DM$51,113,FALSE),0),0)</f>
        <v>0</v>
      </c>
      <c r="AA117" s="309">
        <f>IF(VLOOKUP(AA$2,'TIS Site Config'!$A$4:$AQ$51,3,FALSE)&lt;&gt;"Soft",
          IF(VLOOKUP(AA$2,'TIS Site Config'!$A$3:$AQ$51,1,FALSE)&lt;&gt;"WREF",
           VLOOKUP(AA$2,'Tower configuration'!$A$4:$DM$51,113,FALSE),0),0)</f>
        <v>0</v>
      </c>
      <c r="AB117" s="212">
        <f>IF(VLOOKUP(AB$2,'TIS Site Config'!$A$4:$AQ$51,3,FALSE)&lt;&gt;"Soft",
          IF(VLOOKUP(AB$2,'TIS Site Config'!$A$3:$AQ$51,1,FALSE)&lt;&gt;"WREF",
           VLOOKUP(AB$2,'Tower configuration'!$A$4:$DM$51,113,FALSE),0),0)</f>
        <v>0</v>
      </c>
      <c r="AC117" s="309">
        <f>IF(VLOOKUP(AC$2,'TIS Site Config'!$A$4:$AQ$51,3,FALSE)&lt;&gt;"Soft",
          IF(VLOOKUP(AC$2,'TIS Site Config'!$A$3:$AQ$51,1,FALSE)&lt;&gt;"WREF",
           VLOOKUP(AC$2,'Tower configuration'!$A$4:$DM$51,113,FALSE),0),0)</f>
        <v>0</v>
      </c>
      <c r="AD117" s="213">
        <f>IF(VLOOKUP(AD$2,'TIS Site Config'!$A$4:$AQ$51,3,FALSE)&lt;&gt;"Soft",
          IF(VLOOKUP(AD$2,'TIS Site Config'!$A$3:$AQ$51,1,FALSE)&lt;&gt;"WREF",
           VLOOKUP(AD$2,'Tower configuration'!$A$4:$DM$51,113,FALSE),0),0)</f>
        <v>0</v>
      </c>
      <c r="AE117" s="213">
        <f>IF(VLOOKUP(AE$2,'TIS Site Config'!$A$4:$AQ$51,3,FALSE)&lt;&gt;"Soft",
          IF(VLOOKUP(AE$2,'TIS Site Config'!$A$3:$AQ$51,1,FALSE)&lt;&gt;"WREF",
           VLOOKUP(AE$2,'Tower configuration'!$A$4:$DM$51,113,FALSE),0),0)</f>
        <v>0</v>
      </c>
      <c r="AF117" s="39">
        <f>IF(VLOOKUP(AF$2,'TIS Site Config'!$A$4:$AQ$51,3,FALSE)&lt;&gt;"Soft",
          IF(VLOOKUP(AF$2,'TIS Site Config'!$A$3:$AQ$51,1,FALSE)&lt;&gt;"WREF",
           VLOOKUP(AF$2,'Tower configuration'!$A$4:$DM$51,113,FALSE),0),0)</f>
        <v>0</v>
      </c>
      <c r="AG117" s="309">
        <f>IF(VLOOKUP(AG$2,'TIS Site Config'!$A$4:$AQ$51,3,FALSE)&lt;&gt;"Soft",
          IF(VLOOKUP(AG$2,'TIS Site Config'!$A$3:$AQ$51,1,FALSE)&lt;&gt;"WREF",
           VLOOKUP(AG$2,'Tower configuration'!$A$4:$DM$51,113,FALSE),0),0)</f>
        <v>0</v>
      </c>
      <c r="AH117" s="212">
        <f>IF(VLOOKUP(AH$2,'TIS Site Config'!$A$4:$AQ$51,3,FALSE)&lt;&gt;"Soft",
          IF(VLOOKUP(AH$2,'TIS Site Config'!$A$3:$AQ$51,1,FALSE)&lt;&gt;"WREF",
           VLOOKUP(AH$2,'Tower configuration'!$A$4:$DM$51,113,FALSE),0),0)</f>
        <v>3</v>
      </c>
      <c r="AI117" s="134">
        <f>IF(VLOOKUP(AI$2,'TIS Site Config'!$A$4:$AQ$51,3,FALSE)&lt;&gt;"Soft",
          IF(VLOOKUP(AI$2,'TIS Site Config'!$A$3:$AQ$51,1,FALSE)&lt;&gt;"WREF",
           VLOOKUP(AI$2,'Tower configuration'!$A$4:$DM$51,113,FALSE),0),0)</f>
        <v>0</v>
      </c>
      <c r="AJ117" s="309">
        <f>IF(VLOOKUP(AJ$2,'TIS Site Config'!$A$4:$AQ$51,3,FALSE)&lt;&gt;"Soft",
          IF(VLOOKUP(AJ$2,'TIS Site Config'!$A$3:$AQ$51,1,FALSE)&lt;&gt;"WREF",
           VLOOKUP(AJ$2,'Tower configuration'!$A$4:$DM$51,113,FALSE),0),0)</f>
        <v>0</v>
      </c>
      <c r="AK117" s="212">
        <f>IF(VLOOKUP(AK$2,'TIS Site Config'!$A$4:$AQ$51,3,FALSE)&lt;&gt;"Soft",
          IF(VLOOKUP(AK$2,'TIS Site Config'!$A$3:$AQ$51,1,FALSE)&lt;&gt;"WREF",
           VLOOKUP(AK$2,'Tower configuration'!$A$4:$DM$51,113,FALSE),0),0)</f>
        <v>0</v>
      </c>
      <c r="AL117" s="134">
        <f>IF(VLOOKUP(AL$2,'TIS Site Config'!$A$4:$AQ$51,3,FALSE)&lt;&gt;"Soft",
          IF(VLOOKUP(AL$2,'TIS Site Config'!$A$3:$AQ$51,1,FALSE)&lt;&gt;"WREF",
           VLOOKUP(AL$2,'Tower configuration'!$A$4:$DM$51,113,FALSE),0),0)</f>
        <v>0</v>
      </c>
      <c r="AM117" s="309">
        <f>IF(VLOOKUP(AM$2,'TIS Site Config'!$A$4:$AQ$51,3,FALSE)&lt;&gt;"Soft",
          IF(VLOOKUP(AM$2,'TIS Site Config'!$A$3:$AQ$51,1,FALSE)&lt;&gt;"WREF",
           VLOOKUP(AM$2,'Tower configuration'!$A$4:$DM$51,113,FALSE),0),0)</f>
        <v>0</v>
      </c>
      <c r="AN117" s="212">
        <f>IF(VLOOKUP(AN$2,'TIS Site Config'!$A$4:$AQ$51,3,FALSE)&lt;&gt;"Soft",
          IF(VLOOKUP(AN$2,'TIS Site Config'!$A$3:$AQ$51,1,FALSE)&lt;&gt;"WREF",
           VLOOKUP(AN$2,'Tower configuration'!$A$4:$DM$51,113,FALSE),0),0)</f>
        <v>3</v>
      </c>
      <c r="AO117" s="134">
        <f>IF(VLOOKUP(AO$2,'TIS Site Config'!$A$4:$AQ$51,3,FALSE)&lt;&gt;"Soft",
          IF(VLOOKUP(AO$2,'TIS Site Config'!$A$3:$AQ$51,1,FALSE)&lt;&gt;"WREF",
           VLOOKUP(AO$2,'Tower configuration'!$A$4:$DM$51,113,FALSE),0),0)</f>
        <v>0</v>
      </c>
      <c r="AP117" s="309">
        <f>IF(VLOOKUP(AP$2,'TIS Site Config'!$A$4:$AQ$51,3,FALSE)&lt;&gt;"Soft",
          IF(VLOOKUP(AP$2,'TIS Site Config'!$A$3:$AQ$51,1,FALSE)&lt;&gt;"WREF",
           VLOOKUP(AP$2,'Tower configuration'!$A$4:$DM$51,113,FALSE),0),0)</f>
        <v>0</v>
      </c>
      <c r="AQ117" s="134">
        <f>IF(VLOOKUP(AQ$2,'TIS Site Config'!$A$4:$AQ$51,3,FALSE)&lt;&gt;"Soft",
          IF(VLOOKUP(AQ$2,'TIS Site Config'!$A$3:$AQ$51,1,FALSE)&lt;&gt;"WREF",
           VLOOKUP(AQ$2,'Tower configuration'!$A$4:$DM$51,113,FALSE),0),0)</f>
        <v>3</v>
      </c>
      <c r="AR117" s="134">
        <f>IF(VLOOKUP(AR$2,'TIS Site Config'!$A$4:$AQ$51,3,FALSE)&lt;&gt;"Soft",
          IF(VLOOKUP(AR$2,'TIS Site Config'!$A$3:$AQ$51,1,FALSE)&lt;&gt;"WREF",
           VLOOKUP(AR$2,'Tower configuration'!$A$4:$DM$51,113,FALSE),0),0)</f>
        <v>2</v>
      </c>
      <c r="AS117" s="309">
        <f>IF(VLOOKUP(AS$2,'TIS Site Config'!$A$4:$AQ$51,3,FALSE)&lt;&gt;"Soft",
          IF(VLOOKUP(AS$2,'TIS Site Config'!$A$3:$AQ$51,1,FALSE)&lt;&gt;"WREF",
           VLOOKUP(AS$2,'Tower configuration'!$A$4:$DM$51,113,FALSE),0),0)</f>
        <v>0</v>
      </c>
      <c r="AT117" s="134">
        <f>IF(VLOOKUP(AT$2,'TIS Site Config'!$A$4:$AQ$51,3,FALSE)&lt;&gt;"Soft",
          IF(VLOOKUP(AT$2,'TIS Site Config'!$A$3:$AQ$51,1,FALSE)&lt;&gt;"WREF",
           VLOOKUP(AT$2,'Tower configuration'!$A$4:$DM$51,113,FALSE),0),0)</f>
        <v>0</v>
      </c>
      <c r="AU117" s="309">
        <f>IF(VLOOKUP(AU$2,'TIS Site Config'!$A$4:$AQ$51,3,FALSE)&lt;&gt;"Soft",
          IF(VLOOKUP(AU$2,'TIS Site Config'!$A$3:$AQ$51,1,FALSE)&lt;&gt;"WREF",
           VLOOKUP(AU$2,'Tower configuration'!$A$4:$DM$51,113,FALSE),0),0)</f>
        <v>0</v>
      </c>
      <c r="AV117" s="134">
        <f>IF(VLOOKUP(AV$2,'TIS Site Config'!$A$4:$AQ$51,3,FALSE)&lt;&gt;"Soft",
          IF(VLOOKUP(AV$2,'TIS Site Config'!$A$3:$AQ$51,1,FALSE)&lt;&gt;"WREF",
           VLOOKUP(AV$2,'Tower configuration'!$A$4:$DM$51,113,FALSE),0),0)</f>
        <v>0</v>
      </c>
      <c r="AW117" s="134">
        <f>IF(VLOOKUP(AW$2,'TIS Site Config'!$A$4:$AQ$51,3,FALSE)&lt;&gt;"Soft",
          IF(VLOOKUP(AW$2,'TIS Site Config'!$A$3:$AQ$51,1,FALSE)&lt;&gt;"WREF",
           VLOOKUP(AW$2,'Tower configuration'!$A$4:$DM$51,113,FALSE),0),0)</f>
        <v>0</v>
      </c>
      <c r="AX117" s="212">
        <f>IF(VLOOKUP(AX$2,'TIS Site Config'!$A$4:$AQ$51,3,FALSE)&lt;&gt;"Soft",
          IF(VLOOKUP(AX$2,'TIS Site Config'!$A$3:$AQ$51,1,FALSE)&lt;&gt;"WREF",
           VLOOKUP(AX$2,'Tower configuration'!$A$4:$DM$51,113,FALSE),0),0)</f>
        <v>2</v>
      </c>
      <c r="AY117" s="134">
        <f>IF(VLOOKUP(AY$2,'TIS Site Config'!$A$4:$AQ$51,3,FALSE)&lt;&gt;"Soft",
          IF(VLOOKUP(AY$2,'TIS Site Config'!$A$3:$AQ$51,1,FALSE)&lt;&gt;"WREF",
           VLOOKUP(AY$2,'Tower configuration'!$A$4:$DM$51,113,FALSE),0),0)</f>
        <v>0</v>
      </c>
      <c r="AZ117" s="309">
        <f>IF(VLOOKUP(AZ$2,'TIS Site Config'!$A$4:$AQ$51,3,FALSE)&lt;&gt;"Soft",
          IF(VLOOKUP(AZ$2,'TIS Site Config'!$A$3:$AQ$51,1,FALSE)&lt;&gt;"WREF",
           VLOOKUP(AZ$2,'Tower configuration'!$A$4:$DM$51,113,FALSE),0),0)</f>
        <v>1</v>
      </c>
      <c r="BA117" s="213">
        <f>IF(VLOOKUP(BA$2,'TIS Site Config'!$A$4:$AQ$51,3,FALSE)&lt;&gt;"Soft",
          IF(VLOOKUP(BA$2,'TIS Site Config'!$A$3:$AQ$51,1,FALSE)&lt;&gt;"WREF",
           VLOOKUP(BA$2,'Tower configuration'!$A$4:$DM$51,113,FALSE),0),0)</f>
        <v>3</v>
      </c>
      <c r="BB117" s="134">
        <f>IF(VLOOKUP(BB$2,'TIS Site Config'!$A$4:$AQ$51,3,FALSE)&lt;&gt;"Soft",
          IF(VLOOKUP(BB$2,'TIS Site Config'!$A$3:$AQ$51,1,FALSE)&lt;&gt;"WREF",
           VLOOKUP(BB$2,'Tower configuration'!$A$4:$DM$51,113,FALSE),0),0)</f>
        <v>0</v>
      </c>
      <c r="BC117" s="212">
        <f>IF(VLOOKUP(BC$2,'TIS Site Config'!$A$4:$AQ$51,3,FALSE)&lt;&gt;"Soft",
          IF(VLOOKUP(BC$2,'TIS Site Config'!$A$3:$AQ$51,1,FALSE)&lt;&gt;"WREF",
           VLOOKUP(BC$2,'Tower configuration'!$A$4:$DM$51,113,FALSE),0),0)</f>
        <v>1</v>
      </c>
      <c r="BD117" s="134">
        <f>IF(VLOOKUP(BD$2,'TIS Site Config'!$A$4:$AQ$51,3,FALSE)&lt;&gt;"Soft",
          IF(VLOOKUP(BD$2,'TIS Site Config'!$A$3:$AQ$51,1,FALSE)&lt;&gt;"WREF",
           VLOOKUP(BD$2,'Tower configuration'!$A$4:$DM$51,113,FALSE),0),0)</f>
        <v>1</v>
      </c>
      <c r="BE117" s="309">
        <f>IF(VLOOKUP(BE$2,'TIS Site Config'!$A$4:$AQ$51,3,FALSE)&lt;&gt;"Soft",
          IF(VLOOKUP(BE$2,'TIS Site Config'!$A$3:$AQ$51,1,FALSE)&lt;&gt;"WREF",
           VLOOKUP(BE$2,'Tower configuration'!$A$4:$DM$51,113,FALSE),0),0)</f>
        <v>0</v>
      </c>
      <c r="BF117" s="212">
        <f>IF(VLOOKUP(BF$2,'TIS Site Config'!$A$4:$AQ$51,3,FALSE)&lt;&gt;"Soft",
          IF(VLOOKUP(BF$2,'TIS Site Config'!$A$3:$AQ$51,1,FALSE)&lt;&gt;"WREF",
           VLOOKUP(BF$2,'Tower configuration'!$A$4:$DM$51,113,FALSE),0),0)</f>
        <v>0</v>
      </c>
      <c r="BG117" s="60">
        <f>IF(VLOOKUP(BG$2,'TIS Site Config'!$A$4:$AQ$51,3,FALSE)&lt;&gt;"Soft",
          IF(VLOOKUP(BG$2,'TIS Site Config'!$A$3:$AQ$51,1,FALSE)&lt;&gt;"WREF",
           VLOOKUP(BG$2,'Tower configuration'!$A$4:$DM$51,113,FALSE),0),0)</f>
        <v>0</v>
      </c>
      <c r="BH117" s="60">
        <f>IF(VLOOKUP(BH$2,'TIS Site Config'!$A$4:$AQ$51,3,FALSE)&lt;&gt;"Soft",
          IF(VLOOKUP(BH$2,'TIS Site Config'!$A$3:$AQ$51,1,FALSE)&lt;&gt;"WREF",
           VLOOKUP(BH$2,'Tower configuration'!$A$4:$DM$51,113,FALSE),0),0)</f>
        <v>0</v>
      </c>
      <c r="BI117" s="437" t="s">
        <v>972</v>
      </c>
      <c r="BK117" s="44">
        <v>32</v>
      </c>
      <c r="BL117" s="950" t="b">
        <f t="shared" si="9"/>
        <v>0</v>
      </c>
      <c r="BO117" s="950"/>
    </row>
    <row r="118" spans="1:67" s="44" customFormat="1" x14ac:dyDescent="0.25">
      <c r="A118" s="1366"/>
      <c r="B118" s="1374"/>
      <c r="C118" s="59" t="s">
        <v>567</v>
      </c>
      <c r="D118" s="90">
        <v>3</v>
      </c>
      <c r="E118" s="84" t="s">
        <v>568</v>
      </c>
      <c r="F118" s="60">
        <f t="shared" si="5"/>
        <v>47</v>
      </c>
      <c r="G118" s="459"/>
      <c r="H118" s="460"/>
      <c r="I118" s="460"/>
      <c r="J118" s="460"/>
      <c r="K118" s="461"/>
      <c r="L118" s="494"/>
      <c r="M118" s="134">
        <f xml:space="preserve"> 1</f>
        <v>1</v>
      </c>
      <c r="N118" s="212">
        <f t="shared" ref="N118:BH118" si="10" xml:space="preserve"> 1</f>
        <v>1</v>
      </c>
      <c r="O118" s="215">
        <f t="shared" si="10"/>
        <v>1</v>
      </c>
      <c r="P118" s="309">
        <f t="shared" si="10"/>
        <v>1</v>
      </c>
      <c r="Q118" s="212">
        <f t="shared" si="10"/>
        <v>1</v>
      </c>
      <c r="R118" s="134">
        <f t="shared" si="10"/>
        <v>1</v>
      </c>
      <c r="S118" s="309">
        <f t="shared" si="10"/>
        <v>1</v>
      </c>
      <c r="T118" s="212">
        <f t="shared" si="10"/>
        <v>1</v>
      </c>
      <c r="U118" s="134">
        <f t="shared" si="10"/>
        <v>1</v>
      </c>
      <c r="V118" s="212">
        <f t="shared" si="10"/>
        <v>1</v>
      </c>
      <c r="W118" s="214">
        <f t="shared" si="10"/>
        <v>1</v>
      </c>
      <c r="X118" s="309">
        <f t="shared" si="10"/>
        <v>1</v>
      </c>
      <c r="Y118" s="212">
        <f t="shared" si="10"/>
        <v>1</v>
      </c>
      <c r="Z118" s="134">
        <f t="shared" si="10"/>
        <v>1</v>
      </c>
      <c r="AA118" s="309">
        <f t="shared" si="10"/>
        <v>1</v>
      </c>
      <c r="AB118" s="212">
        <f t="shared" si="10"/>
        <v>1</v>
      </c>
      <c r="AC118" s="309">
        <f t="shared" si="10"/>
        <v>1</v>
      </c>
      <c r="AD118" s="213">
        <f t="shared" si="10"/>
        <v>1</v>
      </c>
      <c r="AE118" s="213">
        <f t="shared" si="10"/>
        <v>1</v>
      </c>
      <c r="AF118" s="39">
        <f t="shared" si="10"/>
        <v>1</v>
      </c>
      <c r="AG118" s="309">
        <f t="shared" si="10"/>
        <v>1</v>
      </c>
      <c r="AH118" s="212">
        <f t="shared" si="10"/>
        <v>1</v>
      </c>
      <c r="AI118" s="134">
        <f t="shared" si="10"/>
        <v>1</v>
      </c>
      <c r="AJ118" s="309">
        <f t="shared" si="10"/>
        <v>1</v>
      </c>
      <c r="AK118" s="212">
        <f t="shared" si="10"/>
        <v>1</v>
      </c>
      <c r="AL118" s="134">
        <f t="shared" si="10"/>
        <v>1</v>
      </c>
      <c r="AM118" s="309">
        <f t="shared" si="10"/>
        <v>1</v>
      </c>
      <c r="AN118" s="212">
        <f t="shared" si="10"/>
        <v>1</v>
      </c>
      <c r="AO118" s="134">
        <f t="shared" si="10"/>
        <v>1</v>
      </c>
      <c r="AP118" s="309">
        <f t="shared" si="10"/>
        <v>1</v>
      </c>
      <c r="AQ118" s="134">
        <f t="shared" si="10"/>
        <v>1</v>
      </c>
      <c r="AR118" s="134">
        <f t="shared" si="10"/>
        <v>1</v>
      </c>
      <c r="AS118" s="309">
        <f t="shared" si="10"/>
        <v>1</v>
      </c>
      <c r="AT118" s="134">
        <f t="shared" si="10"/>
        <v>1</v>
      </c>
      <c r="AU118" s="309">
        <f t="shared" si="10"/>
        <v>1</v>
      </c>
      <c r="AV118" s="134">
        <f t="shared" si="10"/>
        <v>1</v>
      </c>
      <c r="AW118" s="134">
        <f t="shared" si="10"/>
        <v>1</v>
      </c>
      <c r="AX118" s="212">
        <f t="shared" si="10"/>
        <v>1</v>
      </c>
      <c r="AY118" s="134">
        <f t="shared" si="10"/>
        <v>1</v>
      </c>
      <c r="AZ118" s="309">
        <f t="shared" si="10"/>
        <v>1</v>
      </c>
      <c r="BA118" s="213">
        <f t="shared" si="10"/>
        <v>1</v>
      </c>
      <c r="BB118" s="134">
        <f t="shared" si="10"/>
        <v>1</v>
      </c>
      <c r="BC118" s="212">
        <f t="shared" si="10"/>
        <v>1</v>
      </c>
      <c r="BD118" s="134">
        <f t="shared" si="10"/>
        <v>1</v>
      </c>
      <c r="BE118" s="309">
        <f t="shared" si="10"/>
        <v>1</v>
      </c>
      <c r="BF118" s="212">
        <f t="shared" si="10"/>
        <v>1</v>
      </c>
      <c r="BG118" s="60">
        <f t="shared" si="10"/>
        <v>1</v>
      </c>
      <c r="BH118" s="60">
        <f t="shared" si="10"/>
        <v>1</v>
      </c>
      <c r="BI118" s="437" t="s">
        <v>972</v>
      </c>
      <c r="BK118" s="44">
        <v>59</v>
      </c>
      <c r="BL118" s="950" t="b">
        <f t="shared" si="9"/>
        <v>0</v>
      </c>
      <c r="BO118" s="950"/>
    </row>
    <row r="119" spans="1:67" s="298" customFormat="1" x14ac:dyDescent="0.25">
      <c r="A119" s="1366"/>
      <c r="B119" s="1374"/>
      <c r="C119" s="59" t="s">
        <v>578</v>
      </c>
      <c r="D119" s="60">
        <v>4</v>
      </c>
      <c r="E119" s="84" t="s">
        <v>577</v>
      </c>
      <c r="F119" s="60">
        <f t="shared" si="5"/>
        <v>7</v>
      </c>
      <c r="G119" s="459"/>
      <c r="H119" s="460"/>
      <c r="I119" s="460"/>
      <c r="J119" s="460"/>
      <c r="K119" s="461"/>
      <c r="L119" s="494"/>
      <c r="M119" s="137">
        <f>IF(VLOOKUP(M$2,'TIS Site Config'!$A$3:$AQ$51,1,FALSE)="WREF",
           VLOOKUP(M$2,'TIS Site Config'!$A$3:$AQ$51,17,FALSE)-1,0)</f>
        <v>0</v>
      </c>
      <c r="N119" s="227">
        <f>IF(VLOOKUP(N$2,'TIS Site Config'!$A$3:$AQ$51,1,FALSE)="WREF",
           VLOOKUP(N$2,'TIS Site Config'!$A$3:$AQ$51,17,FALSE)-1,0)</f>
        <v>0</v>
      </c>
      <c r="O119" s="230">
        <f>IF(VLOOKUP(O$2,'TIS Site Config'!$A$3:$AQ$51,1,FALSE)="WREF",
           VLOOKUP(O$2,'TIS Site Config'!$A$3:$AQ$51,17,FALSE)-1,0)</f>
        <v>0</v>
      </c>
      <c r="P119" s="226">
        <f>IF(VLOOKUP(P$2,'TIS Site Config'!$A$3:$AQ$51,1,FALSE)="WREF",
           VLOOKUP(P$2,'TIS Site Config'!$A$3:$AQ$51,17,FALSE)-1,0)</f>
        <v>0</v>
      </c>
      <c r="Q119" s="227">
        <f>IF(VLOOKUP(Q$2,'TIS Site Config'!$A$3:$AQ$51,1,FALSE)="WREF",
           VLOOKUP(Q$2,'TIS Site Config'!$A$3:$AQ$51,17,FALSE)-1,0)</f>
        <v>0</v>
      </c>
      <c r="R119" s="137">
        <f>IF(VLOOKUP(R$2,'TIS Site Config'!$A$3:$AQ$51,1,FALSE)="WREF",
           VLOOKUP(R$2,'TIS Site Config'!$A$3:$AQ$51,17,FALSE)-1,0)</f>
        <v>0</v>
      </c>
      <c r="S119" s="226">
        <f>IF(VLOOKUP(S$2,'TIS Site Config'!$A$3:$AQ$51,1,FALSE)="WREF",
           VLOOKUP(S$2,'TIS Site Config'!$A$3:$AQ$51,17,FALSE)-1,0)</f>
        <v>0</v>
      </c>
      <c r="T119" s="227">
        <f>IF(VLOOKUP(T$2,'TIS Site Config'!$A$3:$AQ$51,1,FALSE)="WREF",
           VLOOKUP(T$2,'TIS Site Config'!$A$3:$AQ$51,17,FALSE)-1,0)</f>
        <v>0</v>
      </c>
      <c r="U119" s="137">
        <f>IF(VLOOKUP(U$2,'TIS Site Config'!$A$3:$AQ$51,1,FALSE)="WREF",
           VLOOKUP(U$2,'TIS Site Config'!$A$3:$AQ$51,17,FALSE)-1,0)</f>
        <v>0</v>
      </c>
      <c r="V119" s="227">
        <f>IF(VLOOKUP(V$2,'TIS Site Config'!$A$3:$AQ$51,1,FALSE)="WREF",
           VLOOKUP(V$2,'TIS Site Config'!$A$3:$AQ$51,17,FALSE)-1,0)</f>
        <v>0</v>
      </c>
      <c r="W119" s="229">
        <f>IF(VLOOKUP(W$2,'TIS Site Config'!$A$3:$AQ$51,1,FALSE)="WREF",
           VLOOKUP(W$2,'TIS Site Config'!$A$3:$AQ$51,17,FALSE)-1,0)</f>
        <v>0</v>
      </c>
      <c r="X119" s="226">
        <f>IF(VLOOKUP(X$2,'TIS Site Config'!$A$3:$AQ$51,1,FALSE)="WREF",
           VLOOKUP(X$2,'TIS Site Config'!$A$3:$AQ$51,17,FALSE)-1,0)</f>
        <v>0</v>
      </c>
      <c r="Y119" s="227">
        <f>IF(VLOOKUP(Y$2,'TIS Site Config'!$A$3:$AQ$51,1,FALSE)="WREF",
           VLOOKUP(Y$2,'TIS Site Config'!$A$3:$AQ$51,17,FALSE)-1,0)</f>
        <v>0</v>
      </c>
      <c r="Z119" s="137">
        <f>IF(VLOOKUP(Z$2,'TIS Site Config'!$A$3:$AQ$51,1,FALSE)="WREF",
           VLOOKUP(Z$2,'TIS Site Config'!$A$3:$AQ$51,17,FALSE)-1,0)</f>
        <v>0</v>
      </c>
      <c r="AA119" s="226">
        <f>IF(VLOOKUP(AA$2,'TIS Site Config'!$A$3:$AQ$51,1,FALSE)="WREF",
           VLOOKUP(AA$2,'TIS Site Config'!$A$3:$AQ$51,17,FALSE)-1,0)</f>
        <v>0</v>
      </c>
      <c r="AB119" s="227">
        <f>IF(VLOOKUP(AB$2,'TIS Site Config'!$A$3:$AQ$51,1,FALSE)="WREF",
           VLOOKUP(AB$2,'TIS Site Config'!$A$3:$AQ$51,17,FALSE)-1,0)</f>
        <v>0</v>
      </c>
      <c r="AC119" s="226">
        <f>IF(VLOOKUP(AC$2,'TIS Site Config'!$A$3:$AQ$51,1,FALSE)="WREF",
           VLOOKUP(AC$2,'TIS Site Config'!$A$3:$AQ$51,17,FALSE)-1,0)</f>
        <v>0</v>
      </c>
      <c r="AD119" s="228">
        <f>IF(VLOOKUP(AD$2,'TIS Site Config'!$A$3:$AQ$51,1,FALSE)="WREF",
           VLOOKUP(AD$2,'TIS Site Config'!$A$3:$AQ$51,17,FALSE)-1,0)</f>
        <v>0</v>
      </c>
      <c r="AE119" s="228">
        <f>IF(VLOOKUP(AE$2,'TIS Site Config'!$A$3:$AQ$51,1,FALSE)="WREF",
           VLOOKUP(AE$2,'TIS Site Config'!$A$3:$AQ$51,17,FALSE)-1,0)</f>
        <v>0</v>
      </c>
      <c r="AF119" s="1002">
        <f>IF(VLOOKUP(AF$2,'TIS Site Config'!$A$3:$AQ$51,1,FALSE)="WREF",
           VLOOKUP(AF$2,'TIS Site Config'!$A$3:$AQ$51,17,FALSE)-1,0)</f>
        <v>0</v>
      </c>
      <c r="AG119" s="226">
        <f>IF(VLOOKUP(AG$2,'TIS Site Config'!$A$3:$AQ$51,1,FALSE)="WREF",
           VLOOKUP(AG$2,'TIS Site Config'!$A$3:$AQ$51,17,FALSE)-1,0)</f>
        <v>0</v>
      </c>
      <c r="AH119" s="227">
        <f>IF(VLOOKUP(AH$2,'TIS Site Config'!$A$3:$AQ$51,1,FALSE)="WREF",
           VLOOKUP(AH$2,'TIS Site Config'!$A$3:$AQ$51,17,FALSE)-1,0)</f>
        <v>0</v>
      </c>
      <c r="AI119" s="137">
        <f>IF(VLOOKUP(AI$2,'TIS Site Config'!$A$3:$AQ$51,1,FALSE)="WREF",
           VLOOKUP(AI$2,'TIS Site Config'!$A$3:$AQ$51,17,FALSE)-1,0)</f>
        <v>0</v>
      </c>
      <c r="AJ119" s="226">
        <f>IF(VLOOKUP(AJ$2,'TIS Site Config'!$A$3:$AQ$51,1,FALSE)="WREF",
           VLOOKUP(AJ$2,'TIS Site Config'!$A$3:$AQ$51,17,FALSE)-1,0)</f>
        <v>0</v>
      </c>
      <c r="AK119" s="227">
        <f>IF(VLOOKUP(AK$2,'TIS Site Config'!$A$3:$AQ$51,1,FALSE)="WREF",
           VLOOKUP(AK$2,'TIS Site Config'!$A$3:$AQ$51,17,FALSE)-1,0)</f>
        <v>0</v>
      </c>
      <c r="AL119" s="137">
        <f>IF(VLOOKUP(AL$2,'TIS Site Config'!$A$3:$AQ$51,1,FALSE)="WREF",
           VLOOKUP(AL$2,'TIS Site Config'!$A$3:$AQ$51,17,FALSE)-1,0)</f>
        <v>0</v>
      </c>
      <c r="AM119" s="226">
        <f>IF(VLOOKUP(AM$2,'TIS Site Config'!$A$3:$AQ$51,1,FALSE)="WREF",
           VLOOKUP(AM$2,'TIS Site Config'!$A$3:$AQ$51,17,FALSE)-1,0)</f>
        <v>0</v>
      </c>
      <c r="AN119" s="227">
        <f>IF(VLOOKUP(AN$2,'TIS Site Config'!$A$3:$AQ$51,1,FALSE)="WREF",
           VLOOKUP(AN$2,'TIS Site Config'!$A$3:$AQ$51,17,FALSE)-1,0)</f>
        <v>0</v>
      </c>
      <c r="AO119" s="137">
        <f>IF(VLOOKUP(AO$2,'TIS Site Config'!$A$3:$AQ$51,1,FALSE)="WREF",
           VLOOKUP(AO$2,'TIS Site Config'!$A$3:$AQ$51,17,FALSE)-1,0)</f>
        <v>0</v>
      </c>
      <c r="AP119" s="226">
        <f>IF(VLOOKUP(AP$2,'TIS Site Config'!$A$3:$AQ$51,1,FALSE)="WREF",
           VLOOKUP(AP$2,'TIS Site Config'!$A$3:$AQ$51,17,FALSE)-1,0)</f>
        <v>0</v>
      </c>
      <c r="AQ119" s="137">
        <f>IF(VLOOKUP(AQ$2,'TIS Site Config'!$A$3:$AQ$51,1,FALSE)="WREF",
           VLOOKUP(AQ$2,'TIS Site Config'!$A$3:$AQ$51,17,FALSE)-1,0)</f>
        <v>0</v>
      </c>
      <c r="AR119" s="137">
        <f>IF(VLOOKUP(AR$2,'TIS Site Config'!$A$3:$AQ$51,1,FALSE)="WREF",
           VLOOKUP(AR$2,'TIS Site Config'!$A$3:$AQ$51,17,FALSE)-1,0)</f>
        <v>0</v>
      </c>
      <c r="AS119" s="226">
        <f>IF(VLOOKUP(AS$2,'TIS Site Config'!$A$3:$AQ$51,1,FALSE)="WREF",
           VLOOKUP(AS$2,'TIS Site Config'!$A$3:$AQ$51,17,FALSE)-1,0)</f>
        <v>0</v>
      </c>
      <c r="AT119" s="137">
        <f>IF(VLOOKUP(AT$2,'TIS Site Config'!$A$3:$AQ$51,1,FALSE)="WREF",
           VLOOKUP(AT$2,'TIS Site Config'!$A$3:$AQ$51,17,FALSE)-1,0)</f>
        <v>0</v>
      </c>
      <c r="AU119" s="226">
        <f>IF(VLOOKUP(AU$2,'TIS Site Config'!$A$3:$AQ$51,1,FALSE)="WREF",
           VLOOKUP(AU$2,'TIS Site Config'!$A$3:$AQ$51,17,FALSE)-1,0)</f>
        <v>0</v>
      </c>
      <c r="AV119" s="137">
        <f>IF(VLOOKUP(AV$2,'TIS Site Config'!$A$3:$AQ$51,1,FALSE)="WREF",
           VLOOKUP(AV$2,'TIS Site Config'!$A$3:$AQ$51,17,FALSE)-1,0)</f>
        <v>0</v>
      </c>
      <c r="AW119" s="137">
        <f>IF(VLOOKUP(AW$2,'TIS Site Config'!$A$3:$AQ$51,1,FALSE)="WREF",
           VLOOKUP(AW$2,'TIS Site Config'!$A$3:$AQ$51,17,FALSE)-1,0)</f>
        <v>7</v>
      </c>
      <c r="AX119" s="227">
        <f>IF(VLOOKUP(AX$2,'TIS Site Config'!$A$3:$AQ$51,1,FALSE)="WREF",
           VLOOKUP(AX$2,'TIS Site Config'!$A$3:$AQ$51,17,FALSE)-1,0)</f>
        <v>0</v>
      </c>
      <c r="AY119" s="137">
        <f>IF(VLOOKUP(AY$2,'TIS Site Config'!$A$3:$AQ$51,1,FALSE)="WREF",
           VLOOKUP(AY$2,'TIS Site Config'!$A$3:$AQ$51,17,FALSE)-1,0)</f>
        <v>0</v>
      </c>
      <c r="AZ119" s="226">
        <f>IF(VLOOKUP(AZ$2,'TIS Site Config'!$A$3:$AQ$51,1,FALSE)="WREF",
           VLOOKUP(AZ$2,'TIS Site Config'!$A$3:$AQ$51,17,FALSE)-1,0)</f>
        <v>0</v>
      </c>
      <c r="BA119" s="228">
        <f>IF(VLOOKUP(BA$2,'TIS Site Config'!$A$3:$AQ$51,1,FALSE)="WREF",
           VLOOKUP(BA$2,'TIS Site Config'!$A$3:$AQ$51,17,FALSE)-1,0)</f>
        <v>0</v>
      </c>
      <c r="BB119" s="137">
        <f>IF(VLOOKUP(BB$2,'TIS Site Config'!$A$3:$AQ$51,1,FALSE)="WREF",
           VLOOKUP(BB$2,'TIS Site Config'!$A$3:$AQ$51,17,FALSE)-1,0)</f>
        <v>0</v>
      </c>
      <c r="BC119" s="227">
        <f>IF(VLOOKUP(BC$2,'TIS Site Config'!$A$3:$AQ$51,1,FALSE)="WREF",
           VLOOKUP(BC$2,'TIS Site Config'!$A$3:$AQ$51,17,FALSE)-1,0)</f>
        <v>0</v>
      </c>
      <c r="BD119" s="137">
        <f>IF(VLOOKUP(BD$2,'TIS Site Config'!$A$3:$AQ$51,1,FALSE)="WREF",
           VLOOKUP(BD$2,'TIS Site Config'!$A$3:$AQ$51,17,FALSE)-1,0)</f>
        <v>0</v>
      </c>
      <c r="BE119" s="226">
        <f>IF(VLOOKUP(BE$2,'TIS Site Config'!$A$3:$AQ$51,1,FALSE)="WREF",
           VLOOKUP(BE$2,'TIS Site Config'!$A$3:$AQ$51,17,FALSE)-1,0)</f>
        <v>0</v>
      </c>
      <c r="BF119" s="227">
        <f>IF(VLOOKUP(BF$2,'TIS Site Config'!$A$3:$AQ$51,1,FALSE)="WREF",
           VLOOKUP(BF$2,'TIS Site Config'!$A$3:$AQ$51,17,FALSE)-1,0)</f>
        <v>0</v>
      </c>
      <c r="BG119" s="74">
        <f>IF(VLOOKUP(BG$2,'TIS Site Config'!$A$3:$AQ$51,1,FALSE)="WREF",
           VLOOKUP(BG$2,'TIS Site Config'!$A$3:$AQ$51,17,FALSE)-1,0)</f>
        <v>0</v>
      </c>
      <c r="BH119" s="74">
        <f>IF(VLOOKUP(BH$2,'TIS Site Config'!$A$3:$AQ$51,1,FALSE)="WREF",
           VLOOKUP(BH$2,'TIS Site Config'!$A$3:$AQ$51,17,FALSE)-1,0)</f>
        <v>0</v>
      </c>
      <c r="BK119" s="298">
        <v>7</v>
      </c>
      <c r="BL119" s="950" t="b">
        <f t="shared" si="9"/>
        <v>1</v>
      </c>
      <c r="BO119" s="950"/>
    </row>
    <row r="120" spans="1:67" s="44" customFormat="1" x14ac:dyDescent="0.25">
      <c r="A120" s="1366"/>
      <c r="B120" s="1374"/>
      <c r="C120" s="59" t="s">
        <v>531</v>
      </c>
      <c r="D120" s="90">
        <v>3</v>
      </c>
      <c r="E120" s="84" t="s">
        <v>542</v>
      </c>
      <c r="F120" s="60">
        <f t="shared" si="5"/>
        <v>168</v>
      </c>
      <c r="G120" s="462"/>
      <c r="H120" s="463"/>
      <c r="I120" s="463"/>
      <c r="J120" s="463"/>
      <c r="K120" s="464">
        <v>1</v>
      </c>
      <c r="L120" s="495"/>
      <c r="M120" s="134">
        <f>IF(VLOOKUP(M$2,'TIS Site Config'!$A$4:$AQ$51,3,FALSE)&lt;&gt;"Soft",
           VLOOKUP(M$2,'Tower configuration'!$A$4:$DM$51,114,FALSE)+VLOOKUP(M$2,'Tower configuration'!$A$4:$DM$51,115,FALSE),0)</f>
        <v>5</v>
      </c>
      <c r="N120" s="212">
        <f>IF(VLOOKUP(N$2,'TIS Site Config'!$A$4:$AQ$51,3,FALSE)&lt;&gt;"Soft",
           VLOOKUP(N$2,'Tower configuration'!$A$4:$DM$51,114,FALSE)+VLOOKUP(N$2,'Tower configuration'!$A$4:$DM$51,115,FALSE),0)</f>
        <v>5</v>
      </c>
      <c r="O120" s="215">
        <f>IF(VLOOKUP(O$2,'TIS Site Config'!$A$4:$AQ$51,3,FALSE)&lt;&gt;"Soft",
           VLOOKUP(O$2,'Tower configuration'!$A$4:$DM$51,114,FALSE)+VLOOKUP(O$2,'Tower configuration'!$A$4:$DM$51,115,FALSE),0)</f>
        <v>5</v>
      </c>
      <c r="P120" s="309">
        <f>IF(VLOOKUP(P$2,'TIS Site Config'!$A$4:$AQ$51,3,FALSE)&lt;&gt;"Soft",
           VLOOKUP(P$2,'Tower configuration'!$A$4:$DM$51,114,FALSE)+VLOOKUP(P$2,'Tower configuration'!$A$4:$DM$51,115,FALSE),0)</f>
        <v>3</v>
      </c>
      <c r="Q120" s="212">
        <f>IF(VLOOKUP(Q$2,'TIS Site Config'!$A$4:$AQ$51,3,FALSE)&lt;&gt;"Soft",
           VLOOKUP(Q$2,'Tower configuration'!$A$4:$DM$51,114,FALSE)+VLOOKUP(Q$2,'Tower configuration'!$A$4:$DM$51,115,FALSE),0)</f>
        <v>3</v>
      </c>
      <c r="R120" s="134">
        <f>IF(VLOOKUP(R$2,'TIS Site Config'!$A$4:$AQ$51,3,FALSE)&lt;&gt;"Soft",
           VLOOKUP(R$2,'Tower configuration'!$A$4:$DM$51,114,FALSE)+VLOOKUP(R$2,'Tower configuration'!$A$4:$DM$51,115,FALSE),0)</f>
        <v>5</v>
      </c>
      <c r="S120" s="309">
        <f>IF(VLOOKUP(S$2,'TIS Site Config'!$A$4:$AQ$51,3,FALSE)&lt;&gt;"Soft",
           VLOOKUP(S$2,'Tower configuration'!$A$4:$DM$51,114,FALSE)+VLOOKUP(S$2,'Tower configuration'!$A$4:$DM$51,115,FALSE),0)</f>
        <v>3</v>
      </c>
      <c r="T120" s="212">
        <f>IF(VLOOKUP(T$2,'TIS Site Config'!$A$4:$AQ$51,3,FALSE)&lt;&gt;"Soft",
           VLOOKUP(T$2,'Tower configuration'!$A$4:$DM$51,114,FALSE)+VLOOKUP(T$2,'Tower configuration'!$A$4:$DM$51,115,FALSE),0)</f>
        <v>4</v>
      </c>
      <c r="U120" s="134">
        <f>IF(VLOOKUP(U$2,'TIS Site Config'!$A$4:$AQ$51,3,FALSE)&lt;&gt;"Soft",
           VLOOKUP(U$2,'Tower configuration'!$A$4:$DM$51,114,FALSE)+VLOOKUP(U$2,'Tower configuration'!$A$4:$DM$51,115,FALSE),0)</f>
        <v>4</v>
      </c>
      <c r="V120" s="212">
        <f>IF(VLOOKUP(V$2,'TIS Site Config'!$A$4:$AQ$51,3,FALSE)&lt;&gt;"Soft",
           VLOOKUP(V$2,'Tower configuration'!$A$4:$DM$51,114,FALSE)+VLOOKUP(V$2,'Tower configuration'!$A$4:$DM$51,115,FALSE),0)</f>
        <v>3</v>
      </c>
      <c r="W120" s="214">
        <f>IF(VLOOKUP(W$2,'TIS Site Config'!$A$4:$AQ$51,3,FALSE)&lt;&gt;"Soft",
           VLOOKUP(W$2,'Tower configuration'!$A$4:$DM$51,114,FALSE)+VLOOKUP(W$2,'Tower configuration'!$A$4:$DM$51,115,FALSE),0)</f>
        <v>5</v>
      </c>
      <c r="X120" s="309">
        <f>IF(VLOOKUP(X$2,'TIS Site Config'!$A$4:$AQ$51,3,FALSE)&lt;&gt;"Soft",
           VLOOKUP(X$2,'Tower configuration'!$A$4:$DM$51,114,FALSE)+VLOOKUP(X$2,'Tower configuration'!$A$4:$DM$51,115,FALSE),0)</f>
        <v>2</v>
      </c>
      <c r="Y120" s="212">
        <f>IF(VLOOKUP(Y$2,'TIS Site Config'!$A$4:$AQ$51,3,FALSE)&lt;&gt;"Soft",
           VLOOKUP(Y$2,'Tower configuration'!$A$4:$DM$51,114,FALSE)+VLOOKUP(Y$2,'Tower configuration'!$A$4:$DM$51,115,FALSE),0)</f>
        <v>5</v>
      </c>
      <c r="Z120" s="134">
        <f>IF(VLOOKUP(Z$2,'TIS Site Config'!$A$4:$AQ$51,3,FALSE)&lt;&gt;"Soft",
           VLOOKUP(Z$2,'Tower configuration'!$A$4:$DM$51,114,FALSE)+VLOOKUP(Z$2,'Tower configuration'!$A$4:$DM$51,115,FALSE),0)</f>
        <v>3</v>
      </c>
      <c r="AA120" s="309">
        <f>IF(VLOOKUP(AA$2,'TIS Site Config'!$A$4:$AQ$51,3,FALSE)&lt;&gt;"Soft",
           VLOOKUP(AA$2,'Tower configuration'!$A$4:$DM$51,114,FALSE)+VLOOKUP(AA$2,'Tower configuration'!$A$4:$DM$51,115,FALSE),0)</f>
        <v>5</v>
      </c>
      <c r="AB120" s="212">
        <f>IF(VLOOKUP(AB$2,'TIS Site Config'!$A$4:$AQ$51,3,FALSE)&lt;&gt;"Soft",
           VLOOKUP(AB$2,'Tower configuration'!$A$4:$DM$51,114,FALSE)+VLOOKUP(AB$2,'Tower configuration'!$A$4:$DM$51,115,FALSE),0)</f>
        <v>3</v>
      </c>
      <c r="AC120" s="309">
        <f>IF(VLOOKUP(AC$2,'TIS Site Config'!$A$4:$AQ$51,3,FALSE)&lt;&gt;"Soft",
           VLOOKUP(AC$2,'Tower configuration'!$A$4:$DM$51,114,FALSE)+VLOOKUP(AC$2,'Tower configuration'!$A$4:$DM$51,115,FALSE),0)</f>
        <v>5</v>
      </c>
      <c r="AD120" s="213">
        <f>IF(VLOOKUP(AD$2,'TIS Site Config'!$A$4:$AQ$51,3,FALSE)&lt;&gt;"Soft",
           VLOOKUP(AD$2,'Tower configuration'!$A$4:$DM$51,114,FALSE)+VLOOKUP(AD$2,'Tower configuration'!$A$4:$DM$51,115,FALSE),0)</f>
        <v>5</v>
      </c>
      <c r="AE120" s="213">
        <f>IF(VLOOKUP(AE$2,'TIS Site Config'!$A$4:$AQ$51,3,FALSE)&lt;&gt;"Soft",
           VLOOKUP(AE$2,'Tower configuration'!$A$4:$DM$51,114,FALSE)+VLOOKUP(AE$2,'Tower configuration'!$A$4:$DM$51,115,FALSE),0)</f>
        <v>5</v>
      </c>
      <c r="AF120" s="39">
        <f>IF(VLOOKUP(AF$2,'TIS Site Config'!$A$4:$AQ$51,3,FALSE)&lt;&gt;"Soft",
           VLOOKUP(AF$2,'Tower configuration'!$A$4:$DM$51,114,FALSE)+VLOOKUP(AF$2,'Tower configuration'!$A$4:$DM$51,115,FALSE),0)</f>
        <v>4</v>
      </c>
      <c r="AG120" s="309">
        <f>IF(VLOOKUP(AG$2,'TIS Site Config'!$A$4:$AQ$51,3,FALSE)&lt;&gt;"Soft",
           VLOOKUP(AG$2,'Tower configuration'!$A$4:$DM$51,114,FALSE)+VLOOKUP(AG$2,'Tower configuration'!$A$4:$DM$51,115,FALSE),0)</f>
        <v>5</v>
      </c>
      <c r="AH120" s="212">
        <f>IF(VLOOKUP(AH$2,'TIS Site Config'!$A$4:$AQ$51,3,FALSE)&lt;&gt;"Soft",
           VLOOKUP(AH$2,'Tower configuration'!$A$4:$DM$51,114,FALSE)+VLOOKUP(AH$2,'Tower configuration'!$A$4:$DM$51,115,FALSE),0)</f>
        <v>2</v>
      </c>
      <c r="AI120" s="134">
        <f>IF(VLOOKUP(AI$2,'TIS Site Config'!$A$4:$AQ$51,3,FALSE)&lt;&gt;"Soft",
           VLOOKUP(AI$2,'Tower configuration'!$A$4:$DM$51,114,FALSE)+VLOOKUP(AI$2,'Tower configuration'!$A$4:$DM$51,115,FALSE),0)</f>
        <v>3</v>
      </c>
      <c r="AJ120" s="309">
        <f>IF(VLOOKUP(AJ$2,'TIS Site Config'!$A$4:$AQ$51,3,FALSE)&lt;&gt;"Soft",
           VLOOKUP(AJ$2,'Tower configuration'!$A$4:$DM$51,114,FALSE)+VLOOKUP(AJ$2,'Tower configuration'!$A$4:$DM$51,115,FALSE),0)</f>
        <v>3</v>
      </c>
      <c r="AK120" s="212">
        <f>IF(VLOOKUP(AK$2,'TIS Site Config'!$A$4:$AQ$51,3,FALSE)&lt;&gt;"Soft",
           VLOOKUP(AK$2,'Tower configuration'!$A$4:$DM$51,114,FALSE)+VLOOKUP(AK$2,'Tower configuration'!$A$4:$DM$51,115,FALSE),0)</f>
        <v>3</v>
      </c>
      <c r="AL120" s="134">
        <f>IF(VLOOKUP(AL$2,'TIS Site Config'!$A$4:$AQ$51,3,FALSE)&lt;&gt;"Soft",
           VLOOKUP(AL$2,'Tower configuration'!$A$4:$DM$51,114,FALSE)+VLOOKUP(AL$2,'Tower configuration'!$A$4:$DM$51,115,FALSE),0)</f>
        <v>3</v>
      </c>
      <c r="AM120" s="309">
        <f>IF(VLOOKUP(AM$2,'TIS Site Config'!$A$4:$AQ$51,3,FALSE)&lt;&gt;"Soft",
           VLOOKUP(AM$2,'Tower configuration'!$A$4:$DM$51,114,FALSE)+VLOOKUP(AM$2,'Tower configuration'!$A$4:$DM$51,115,FALSE),0)</f>
        <v>3</v>
      </c>
      <c r="AN120" s="212">
        <f>IF(VLOOKUP(AN$2,'TIS Site Config'!$A$4:$AQ$51,3,FALSE)&lt;&gt;"Soft",
           VLOOKUP(AN$2,'Tower configuration'!$A$4:$DM$51,114,FALSE)+VLOOKUP(AN$2,'Tower configuration'!$A$4:$DM$51,115,FALSE),0)</f>
        <v>1</v>
      </c>
      <c r="AO120" s="134">
        <f>IF(VLOOKUP(AO$2,'TIS Site Config'!$A$4:$AQ$51,3,FALSE)&lt;&gt;"Soft",
           VLOOKUP(AO$2,'Tower configuration'!$A$4:$DM$51,114,FALSE)+VLOOKUP(AO$2,'Tower configuration'!$A$4:$DM$51,115,FALSE),0)</f>
        <v>4</v>
      </c>
      <c r="AP120" s="309">
        <f>IF(VLOOKUP(AP$2,'TIS Site Config'!$A$4:$AQ$51,3,FALSE)&lt;&gt;"Soft",
           VLOOKUP(AP$2,'Tower configuration'!$A$4:$DM$51,114,FALSE)+VLOOKUP(AP$2,'Tower configuration'!$A$4:$DM$51,115,FALSE),0)</f>
        <v>3</v>
      </c>
      <c r="AQ120" s="134">
        <f>IF(VLOOKUP(AQ$2,'TIS Site Config'!$A$4:$AQ$51,3,FALSE)&lt;&gt;"Soft",
           VLOOKUP(AQ$2,'Tower configuration'!$A$4:$DM$51,114,FALSE)+VLOOKUP(AQ$2,'Tower configuration'!$A$4:$DM$51,115,FALSE),0)</f>
        <v>2</v>
      </c>
      <c r="AR120" s="134">
        <f>IF(VLOOKUP(AR$2,'TIS Site Config'!$A$4:$AQ$51,3,FALSE)&lt;&gt;"Soft",
           VLOOKUP(AR$2,'Tower configuration'!$A$4:$DM$51,114,FALSE)+VLOOKUP(AR$2,'Tower configuration'!$A$4:$DM$51,115,FALSE),0)</f>
        <v>1</v>
      </c>
      <c r="AS120" s="309">
        <f>IF(VLOOKUP(AS$2,'TIS Site Config'!$A$4:$AQ$51,3,FALSE)&lt;&gt;"Soft",
           VLOOKUP(AS$2,'Tower configuration'!$A$4:$DM$51,114,FALSE)+VLOOKUP(AS$2,'Tower configuration'!$A$4:$DM$51,115,FALSE),0)</f>
        <v>3</v>
      </c>
      <c r="AT120" s="134">
        <f>IF(VLOOKUP(AT$2,'TIS Site Config'!$A$4:$AQ$51,3,FALSE)&lt;&gt;"Soft",
           VLOOKUP(AT$2,'Tower configuration'!$A$4:$DM$51,114,FALSE)+VLOOKUP(AT$2,'Tower configuration'!$A$4:$DM$51,115,FALSE),0)</f>
        <v>3</v>
      </c>
      <c r="AU120" s="309">
        <f>IF(VLOOKUP(AU$2,'TIS Site Config'!$A$4:$AQ$51,3,FALSE)&lt;&gt;"Soft",
           VLOOKUP(AU$2,'Tower configuration'!$A$4:$DM$51,114,FALSE)+VLOOKUP(AU$2,'Tower configuration'!$A$4:$DM$51,115,FALSE),0)</f>
        <v>3</v>
      </c>
      <c r="AV120" s="134">
        <f>IF(VLOOKUP(AV$2,'TIS Site Config'!$A$4:$AQ$51,3,FALSE)&lt;&gt;"Soft",
           VLOOKUP(AV$2,'Tower configuration'!$A$4:$DM$51,114,FALSE)+VLOOKUP(AV$2,'Tower configuration'!$A$4:$DM$51,115,FALSE),0)</f>
        <v>3</v>
      </c>
      <c r="AW120" s="134">
        <f>IF(VLOOKUP(AW$2,'TIS Site Config'!$A$4:$AQ$51,3,FALSE)&lt;&gt;"Soft",
           VLOOKUP(AW$2,'Tower configuration'!$A$4:$DM$51,114,FALSE)+VLOOKUP(AW$2,'Tower configuration'!$A$4:$DM$51,115,FALSE),0)</f>
        <v>7</v>
      </c>
      <c r="AX120" s="212">
        <f>IF(VLOOKUP(AX$2,'TIS Site Config'!$A$4:$AQ$51,3,FALSE)&lt;&gt;"Soft",
           VLOOKUP(AX$2,'Tower configuration'!$A$4:$DM$51,114,FALSE)+VLOOKUP(AX$2,'Tower configuration'!$A$4:$DM$51,115,FALSE),0)</f>
        <v>2</v>
      </c>
      <c r="AY120" s="134">
        <f>IF(VLOOKUP(AY$2,'TIS Site Config'!$A$4:$AQ$51,3,FALSE)&lt;&gt;"Soft",
           VLOOKUP(AY$2,'Tower configuration'!$A$4:$DM$51,114,FALSE)+VLOOKUP(AY$2,'Tower configuration'!$A$4:$DM$51,115,FALSE),0)</f>
        <v>5</v>
      </c>
      <c r="AZ120" s="309">
        <f>IF(VLOOKUP(AZ$2,'TIS Site Config'!$A$4:$AQ$51,3,FALSE)&lt;&gt;"Soft",
           VLOOKUP(AZ$2,'Tower configuration'!$A$4:$DM$51,114,FALSE)+VLOOKUP(AZ$2,'Tower configuration'!$A$4:$DM$51,115,FALSE),0)</f>
        <v>4</v>
      </c>
      <c r="BA120" s="213">
        <f>IF(VLOOKUP(BA$2,'TIS Site Config'!$A$4:$AQ$51,3,FALSE)&lt;&gt;"Soft",
           VLOOKUP(BA$2,'Tower configuration'!$A$4:$DM$51,114,FALSE)+VLOOKUP(BA$2,'Tower configuration'!$A$4:$DM$51,115,FALSE),0)</f>
        <v>3</v>
      </c>
      <c r="BB120" s="134">
        <f>IF(VLOOKUP(BB$2,'TIS Site Config'!$A$4:$AQ$51,3,FALSE)&lt;&gt;"Soft",
           VLOOKUP(BB$2,'Tower configuration'!$A$4:$DM$51,114,FALSE)+VLOOKUP(BB$2,'Tower configuration'!$A$4:$DM$51,115,FALSE),0)</f>
        <v>3</v>
      </c>
      <c r="BC120" s="212">
        <f>IF(VLOOKUP(BC$2,'TIS Site Config'!$A$4:$AQ$51,3,FALSE)&lt;&gt;"Soft",
           VLOOKUP(BC$2,'Tower configuration'!$A$4:$DM$51,114,FALSE)+VLOOKUP(BC$2,'Tower configuration'!$A$4:$DM$51,115,FALSE),0)</f>
        <v>2</v>
      </c>
      <c r="BD120" s="134">
        <f>IF(VLOOKUP(BD$2,'TIS Site Config'!$A$4:$AQ$51,3,FALSE)&lt;&gt;"Soft",
           VLOOKUP(BD$2,'Tower configuration'!$A$4:$DM$51,114,FALSE)+VLOOKUP(BD$2,'Tower configuration'!$A$4:$DM$51,115,FALSE),0)</f>
        <v>3</v>
      </c>
      <c r="BE120" s="309">
        <f>IF(VLOOKUP(BE$2,'TIS Site Config'!$A$4:$AQ$51,3,FALSE)&lt;&gt;"Soft",
           VLOOKUP(BE$2,'Tower configuration'!$A$4:$DM$51,114,FALSE)+VLOOKUP(BE$2,'Tower configuration'!$A$4:$DM$51,115,FALSE),0)</f>
        <v>4</v>
      </c>
      <c r="BF120" s="212">
        <f>IF(VLOOKUP(BF$2,'TIS Site Config'!$A$4:$AQ$51,3,FALSE)&lt;&gt;"Soft",
           VLOOKUP(BF$2,'Tower configuration'!$A$4:$DM$51,114,FALSE)+VLOOKUP(BF$2,'Tower configuration'!$A$4:$DM$51,115,FALSE),0)</f>
        <v>3</v>
      </c>
      <c r="BG120" s="60">
        <f>IF(VLOOKUP(BG$2,'TIS Site Config'!$A$4:$AQ$51,3,FALSE)&lt;&gt;"Soft",
           VLOOKUP(BG$2,'Tower configuration'!$A$4:$DM$51,114,FALSE)+VLOOKUP(BG$2,'Tower configuration'!$A$4:$DM$51,115,FALSE),0)</f>
        <v>5</v>
      </c>
      <c r="BH120" s="60">
        <f>IF(VLOOKUP(BH$2,'TIS Site Config'!$A$4:$AQ$51,3,FALSE)&lt;&gt;"Soft",
           VLOOKUP(BH$2,'Tower configuration'!$A$4:$DM$51,114,FALSE)+VLOOKUP(BH$2,'Tower configuration'!$A$4:$DM$51,115,FALSE),0)</f>
        <v>3</v>
      </c>
      <c r="BI120" s="437" t="s">
        <v>973</v>
      </c>
      <c r="BK120" s="44">
        <v>193</v>
      </c>
      <c r="BL120" s="950" t="b">
        <f t="shared" si="9"/>
        <v>0</v>
      </c>
      <c r="BO120" s="950"/>
    </row>
    <row r="121" spans="1:67" s="44" customFormat="1" x14ac:dyDescent="0.25">
      <c r="A121" s="1366"/>
      <c r="B121" s="1374"/>
      <c r="C121" s="59" t="s">
        <v>532</v>
      </c>
      <c r="D121" s="90">
        <v>3</v>
      </c>
      <c r="E121" s="84" t="s">
        <v>543</v>
      </c>
      <c r="F121" s="60">
        <f t="shared" ref="F121:F136" si="11">SUM(M121:BG121)</f>
        <v>25</v>
      </c>
      <c r="G121" s="462"/>
      <c r="H121" s="463"/>
      <c r="I121" s="463"/>
      <c r="J121" s="463"/>
      <c r="K121" s="464">
        <v>1</v>
      </c>
      <c r="L121" s="495"/>
      <c r="M121" s="134">
        <f>IF(VLOOKUP(M$2,'TIS Site Config'!$A$4:$AQ$51,3,FALSE)&lt;&gt;"Soft",
           VLOOKUP(M$2,'Tower configuration'!$A$4:$DM$51,113,FALSE),0)</f>
        <v>0</v>
      </c>
      <c r="N121" s="212">
        <f>IF(VLOOKUP(N$2,'TIS Site Config'!$A$4:$AQ$51,3,FALSE)&lt;&gt;"Soft",
           VLOOKUP(N$2,'Tower configuration'!$A$4:$DM$51,113,FALSE),0)</f>
        <v>0</v>
      </c>
      <c r="O121" s="215">
        <f>IF(VLOOKUP(O$2,'TIS Site Config'!$A$4:$AQ$51,3,FALSE)&lt;&gt;"Soft",
           VLOOKUP(O$2,'Tower configuration'!$A$4:$DM$51,113,FALSE),0)</f>
        <v>0</v>
      </c>
      <c r="P121" s="309">
        <f>IF(VLOOKUP(P$2,'TIS Site Config'!$A$4:$AQ$51,3,FALSE)&lt;&gt;"Soft",
           VLOOKUP(P$2,'Tower configuration'!$A$4:$DM$51,113,FALSE),0)</f>
        <v>2</v>
      </c>
      <c r="Q121" s="212">
        <f>IF(VLOOKUP(Q$2,'TIS Site Config'!$A$4:$AQ$51,3,FALSE)&lt;&gt;"Soft",
           VLOOKUP(Q$2,'Tower configuration'!$A$4:$DM$51,113,FALSE),0)</f>
        <v>0</v>
      </c>
      <c r="R121" s="134">
        <f>IF(VLOOKUP(R$2,'TIS Site Config'!$A$4:$AQ$51,3,FALSE)&lt;&gt;"Soft",
           VLOOKUP(R$2,'Tower configuration'!$A$4:$DM$51,113,FALSE),0)</f>
        <v>0</v>
      </c>
      <c r="S121" s="309">
        <f>IF(VLOOKUP(S$2,'TIS Site Config'!$A$4:$AQ$51,3,FALSE)&lt;&gt;"Soft",
           VLOOKUP(S$2,'Tower configuration'!$A$4:$DM$51,113,FALSE),0)</f>
        <v>0</v>
      </c>
      <c r="T121" s="212">
        <f>IF(VLOOKUP(T$2,'TIS Site Config'!$A$4:$AQ$51,3,FALSE)&lt;&gt;"Soft",
           VLOOKUP(T$2,'Tower configuration'!$A$4:$DM$51,113,FALSE),0)</f>
        <v>1</v>
      </c>
      <c r="U121" s="134">
        <f>IF(VLOOKUP(U$2,'TIS Site Config'!$A$4:$AQ$51,3,FALSE)&lt;&gt;"Soft",
           VLOOKUP(U$2,'Tower configuration'!$A$4:$DM$51,113,FALSE),0)</f>
        <v>0</v>
      </c>
      <c r="V121" s="212">
        <f>IF(VLOOKUP(V$2,'TIS Site Config'!$A$4:$AQ$51,3,FALSE)&lt;&gt;"Soft",
           VLOOKUP(V$2,'Tower configuration'!$A$4:$DM$51,113,FALSE),0)</f>
        <v>0</v>
      </c>
      <c r="W121" s="214">
        <f>IF(VLOOKUP(W$2,'TIS Site Config'!$A$4:$AQ$51,3,FALSE)&lt;&gt;"Soft",
           VLOOKUP(W$2,'Tower configuration'!$A$4:$DM$51,113,FALSE),0)</f>
        <v>0</v>
      </c>
      <c r="X121" s="309">
        <f>IF(VLOOKUP(X$2,'TIS Site Config'!$A$4:$AQ$51,3,FALSE)&lt;&gt;"Soft",
           VLOOKUP(X$2,'Tower configuration'!$A$4:$DM$51,113,FALSE),0)</f>
        <v>3</v>
      </c>
      <c r="Y121" s="212">
        <f>IF(VLOOKUP(Y$2,'TIS Site Config'!$A$4:$AQ$51,3,FALSE)&lt;&gt;"Soft",
           VLOOKUP(Y$2,'Tower configuration'!$A$4:$DM$51,113,FALSE),0)</f>
        <v>0</v>
      </c>
      <c r="Z121" s="134">
        <f>IF(VLOOKUP(Z$2,'TIS Site Config'!$A$4:$AQ$51,3,FALSE)&lt;&gt;"Soft",
           VLOOKUP(Z$2,'Tower configuration'!$A$4:$DM$51,113,FALSE),0)</f>
        <v>0</v>
      </c>
      <c r="AA121" s="309">
        <f>IF(VLOOKUP(AA$2,'TIS Site Config'!$A$4:$AQ$51,3,FALSE)&lt;&gt;"Soft",
           VLOOKUP(AA$2,'Tower configuration'!$A$4:$DM$51,113,FALSE),0)</f>
        <v>0</v>
      </c>
      <c r="AB121" s="212">
        <f>IF(VLOOKUP(AB$2,'TIS Site Config'!$A$4:$AQ$51,3,FALSE)&lt;&gt;"Soft",
           VLOOKUP(AB$2,'Tower configuration'!$A$4:$DM$51,113,FALSE),0)</f>
        <v>0</v>
      </c>
      <c r="AC121" s="309">
        <f>IF(VLOOKUP(AC$2,'TIS Site Config'!$A$4:$AQ$51,3,FALSE)&lt;&gt;"Soft",
           VLOOKUP(AC$2,'Tower configuration'!$A$4:$DM$51,113,FALSE),0)</f>
        <v>0</v>
      </c>
      <c r="AD121" s="213">
        <f>IF(VLOOKUP(AD$2,'TIS Site Config'!$A$4:$AQ$51,3,FALSE)&lt;&gt;"Soft",
           VLOOKUP(AD$2,'Tower configuration'!$A$4:$DM$51,113,FALSE),0)</f>
        <v>0</v>
      </c>
      <c r="AE121" s="213">
        <f>IF(VLOOKUP(AE$2,'TIS Site Config'!$A$4:$AQ$51,3,FALSE)&lt;&gt;"Soft",
           VLOOKUP(AE$2,'Tower configuration'!$A$4:$DM$51,113,FALSE),0)</f>
        <v>0</v>
      </c>
      <c r="AF121" s="39">
        <f>IF(VLOOKUP(AF$2,'TIS Site Config'!$A$4:$AQ$51,3,FALSE)&lt;&gt;"Soft",
           VLOOKUP(AF$2,'Tower configuration'!$A$4:$DM$51,113,FALSE),0)</f>
        <v>0</v>
      </c>
      <c r="AG121" s="309">
        <f>IF(VLOOKUP(AG$2,'TIS Site Config'!$A$4:$AQ$51,3,FALSE)&lt;&gt;"Soft",
           VLOOKUP(AG$2,'Tower configuration'!$A$4:$DM$51,113,FALSE),0)</f>
        <v>0</v>
      </c>
      <c r="AH121" s="212">
        <f>IF(VLOOKUP(AH$2,'TIS Site Config'!$A$4:$AQ$51,3,FALSE)&lt;&gt;"Soft",
           VLOOKUP(AH$2,'Tower configuration'!$A$4:$DM$51,113,FALSE),0)</f>
        <v>3</v>
      </c>
      <c r="AI121" s="134">
        <f>IF(VLOOKUP(AI$2,'TIS Site Config'!$A$4:$AQ$51,3,FALSE)&lt;&gt;"Soft",
           VLOOKUP(AI$2,'Tower configuration'!$A$4:$DM$51,113,FALSE),0)</f>
        <v>0</v>
      </c>
      <c r="AJ121" s="309">
        <f>IF(VLOOKUP(AJ$2,'TIS Site Config'!$A$4:$AQ$51,3,FALSE)&lt;&gt;"Soft",
           VLOOKUP(AJ$2,'Tower configuration'!$A$4:$DM$51,113,FALSE),0)</f>
        <v>0</v>
      </c>
      <c r="AK121" s="212">
        <f>IF(VLOOKUP(AK$2,'TIS Site Config'!$A$4:$AQ$51,3,FALSE)&lt;&gt;"Soft",
           VLOOKUP(AK$2,'Tower configuration'!$A$4:$DM$51,113,FALSE),0)</f>
        <v>0</v>
      </c>
      <c r="AL121" s="134">
        <f>IF(VLOOKUP(AL$2,'TIS Site Config'!$A$4:$AQ$51,3,FALSE)&lt;&gt;"Soft",
           VLOOKUP(AL$2,'Tower configuration'!$A$4:$DM$51,113,FALSE),0)</f>
        <v>0</v>
      </c>
      <c r="AM121" s="309">
        <f>IF(VLOOKUP(AM$2,'TIS Site Config'!$A$4:$AQ$51,3,FALSE)&lt;&gt;"Soft",
           VLOOKUP(AM$2,'Tower configuration'!$A$4:$DM$51,113,FALSE),0)</f>
        <v>0</v>
      </c>
      <c r="AN121" s="212">
        <f>IF(VLOOKUP(AN$2,'TIS Site Config'!$A$4:$AQ$51,3,FALSE)&lt;&gt;"Soft",
           VLOOKUP(AN$2,'Tower configuration'!$A$4:$DM$51,113,FALSE),0)</f>
        <v>3</v>
      </c>
      <c r="AO121" s="134">
        <f>IF(VLOOKUP(AO$2,'TIS Site Config'!$A$4:$AQ$51,3,FALSE)&lt;&gt;"Soft",
           VLOOKUP(AO$2,'Tower configuration'!$A$4:$DM$51,113,FALSE),0)</f>
        <v>0</v>
      </c>
      <c r="AP121" s="309">
        <f>IF(VLOOKUP(AP$2,'TIS Site Config'!$A$4:$AQ$51,3,FALSE)&lt;&gt;"Soft",
           VLOOKUP(AP$2,'Tower configuration'!$A$4:$DM$51,113,FALSE),0)</f>
        <v>0</v>
      </c>
      <c r="AQ121" s="134">
        <f>IF(VLOOKUP(AQ$2,'TIS Site Config'!$A$4:$AQ$51,3,FALSE)&lt;&gt;"Soft",
           VLOOKUP(AQ$2,'Tower configuration'!$A$4:$DM$51,113,FALSE),0)</f>
        <v>3</v>
      </c>
      <c r="AR121" s="134">
        <f>IF(VLOOKUP(AR$2,'TIS Site Config'!$A$4:$AQ$51,3,FALSE)&lt;&gt;"Soft",
           VLOOKUP(AR$2,'Tower configuration'!$A$4:$DM$51,113,FALSE),0)</f>
        <v>2</v>
      </c>
      <c r="AS121" s="309">
        <f>IF(VLOOKUP(AS$2,'TIS Site Config'!$A$4:$AQ$51,3,FALSE)&lt;&gt;"Soft",
           VLOOKUP(AS$2,'Tower configuration'!$A$4:$DM$51,113,FALSE),0)</f>
        <v>0</v>
      </c>
      <c r="AT121" s="134">
        <f>IF(VLOOKUP(AT$2,'TIS Site Config'!$A$4:$AQ$51,3,FALSE)&lt;&gt;"Soft",
           VLOOKUP(AT$2,'Tower configuration'!$A$4:$DM$51,113,FALSE),0)</f>
        <v>0</v>
      </c>
      <c r="AU121" s="309">
        <f>IF(VLOOKUP(AU$2,'TIS Site Config'!$A$4:$AQ$51,3,FALSE)&lt;&gt;"Soft",
           VLOOKUP(AU$2,'Tower configuration'!$A$4:$DM$51,113,FALSE),0)</f>
        <v>0</v>
      </c>
      <c r="AV121" s="134">
        <f>IF(VLOOKUP(AV$2,'TIS Site Config'!$A$4:$AQ$51,3,FALSE)&lt;&gt;"Soft",
           VLOOKUP(AV$2,'Tower configuration'!$A$4:$DM$51,113,FALSE),0)</f>
        <v>0</v>
      </c>
      <c r="AW121" s="134">
        <f>IF(VLOOKUP(AW$2,'TIS Site Config'!$A$4:$AQ$51,3,FALSE)&lt;&gt;"Soft",
           VLOOKUP(AW$2,'Tower configuration'!$A$4:$DM$51,113,FALSE),0)</f>
        <v>0</v>
      </c>
      <c r="AX121" s="212">
        <f>IF(VLOOKUP(AX$2,'TIS Site Config'!$A$4:$AQ$51,3,FALSE)&lt;&gt;"Soft",
           VLOOKUP(AX$2,'Tower configuration'!$A$4:$DM$51,113,FALSE),0)</f>
        <v>2</v>
      </c>
      <c r="AY121" s="134">
        <f>IF(VLOOKUP(AY$2,'TIS Site Config'!$A$4:$AQ$51,3,FALSE)&lt;&gt;"Soft",
           VLOOKUP(AY$2,'Tower configuration'!$A$4:$DM$51,113,FALSE),0)</f>
        <v>0</v>
      </c>
      <c r="AZ121" s="309">
        <f>IF(VLOOKUP(AZ$2,'TIS Site Config'!$A$4:$AQ$51,3,FALSE)&lt;&gt;"Soft",
           VLOOKUP(AZ$2,'Tower configuration'!$A$4:$DM$51,113,FALSE),0)</f>
        <v>1</v>
      </c>
      <c r="BA121" s="213">
        <f>IF(VLOOKUP(BA$2,'TIS Site Config'!$A$4:$AQ$51,3,FALSE)&lt;&gt;"Soft",
           VLOOKUP(BA$2,'Tower configuration'!$A$4:$DM$51,113,FALSE),0)</f>
        <v>3</v>
      </c>
      <c r="BB121" s="134">
        <f>IF(VLOOKUP(BB$2,'TIS Site Config'!$A$4:$AQ$51,3,FALSE)&lt;&gt;"Soft",
           VLOOKUP(BB$2,'Tower configuration'!$A$4:$DM$51,113,FALSE),0)</f>
        <v>0</v>
      </c>
      <c r="BC121" s="212">
        <f>IF(VLOOKUP(BC$2,'TIS Site Config'!$A$4:$AQ$51,3,FALSE)&lt;&gt;"Soft",
           VLOOKUP(BC$2,'Tower configuration'!$A$4:$DM$51,113,FALSE),0)</f>
        <v>1</v>
      </c>
      <c r="BD121" s="134">
        <f>IF(VLOOKUP(BD$2,'TIS Site Config'!$A$4:$AQ$51,3,FALSE)&lt;&gt;"Soft",
           VLOOKUP(BD$2,'Tower configuration'!$A$4:$DM$51,113,FALSE),0)</f>
        <v>1</v>
      </c>
      <c r="BE121" s="309">
        <f>IF(VLOOKUP(BE$2,'TIS Site Config'!$A$4:$AQ$51,3,FALSE)&lt;&gt;"Soft",
           VLOOKUP(BE$2,'Tower configuration'!$A$4:$DM$51,113,FALSE),0)</f>
        <v>0</v>
      </c>
      <c r="BF121" s="212">
        <f>IF(VLOOKUP(BF$2,'TIS Site Config'!$A$4:$AQ$51,3,FALSE)&lt;&gt;"Soft",
           VLOOKUP(BF$2,'Tower configuration'!$A$4:$DM$51,113,FALSE),0)</f>
        <v>0</v>
      </c>
      <c r="BG121" s="60">
        <f>IF(VLOOKUP(BG$2,'TIS Site Config'!$A$4:$AQ$51,3,FALSE)&lt;&gt;"Soft",
           VLOOKUP(BG$2,'Tower configuration'!$A$4:$DM$51,113,FALSE),0)</f>
        <v>0</v>
      </c>
      <c r="BH121" s="60">
        <f>IF(VLOOKUP(BH$2,'TIS Site Config'!$A$4:$AQ$51,3,FALSE)&lt;&gt;"Soft",
           VLOOKUP(BH$2,'Tower configuration'!$A$4:$DM$51,113,FALSE),0)</f>
        <v>0</v>
      </c>
      <c r="BI121" s="437" t="s">
        <v>973</v>
      </c>
      <c r="BK121" s="44">
        <v>32</v>
      </c>
      <c r="BL121" s="950" t="b">
        <f t="shared" si="9"/>
        <v>0</v>
      </c>
      <c r="BO121" s="950"/>
    </row>
    <row r="122" spans="1:67" s="44" customFormat="1" x14ac:dyDescent="0.25">
      <c r="A122" s="1366"/>
      <c r="B122" s="1374"/>
      <c r="C122" s="59" t="s">
        <v>533</v>
      </c>
      <c r="D122" s="90">
        <v>3</v>
      </c>
      <c r="E122" s="84" t="s">
        <v>544</v>
      </c>
      <c r="F122" s="60">
        <f t="shared" si="11"/>
        <v>47</v>
      </c>
      <c r="G122" s="459"/>
      <c r="H122" s="460"/>
      <c r="I122" s="460"/>
      <c r="J122" s="460"/>
      <c r="K122" s="461">
        <v>1</v>
      </c>
      <c r="L122" s="494"/>
      <c r="M122" s="134">
        <f>1</f>
        <v>1</v>
      </c>
      <c r="N122" s="212">
        <f>1</f>
        <v>1</v>
      </c>
      <c r="O122" s="215">
        <f>1</f>
        <v>1</v>
      </c>
      <c r="P122" s="309">
        <f>1</f>
        <v>1</v>
      </c>
      <c r="Q122" s="212">
        <f>1</f>
        <v>1</v>
      </c>
      <c r="R122" s="134">
        <f>1</f>
        <v>1</v>
      </c>
      <c r="S122" s="309">
        <f>1</f>
        <v>1</v>
      </c>
      <c r="T122" s="212">
        <f>1</f>
        <v>1</v>
      </c>
      <c r="U122" s="134">
        <f>1</f>
        <v>1</v>
      </c>
      <c r="V122" s="212">
        <f>1</f>
        <v>1</v>
      </c>
      <c r="W122" s="214">
        <f>1</f>
        <v>1</v>
      </c>
      <c r="X122" s="309">
        <f>1</f>
        <v>1</v>
      </c>
      <c r="Y122" s="212">
        <f>1</f>
        <v>1</v>
      </c>
      <c r="Z122" s="134">
        <f>1</f>
        <v>1</v>
      </c>
      <c r="AA122" s="309">
        <f>1</f>
        <v>1</v>
      </c>
      <c r="AB122" s="212">
        <f>1</f>
        <v>1</v>
      </c>
      <c r="AC122" s="309">
        <f>1</f>
        <v>1</v>
      </c>
      <c r="AD122" s="213">
        <f>1</f>
        <v>1</v>
      </c>
      <c r="AE122" s="213">
        <f>1</f>
        <v>1</v>
      </c>
      <c r="AF122" s="39">
        <f>1</f>
        <v>1</v>
      </c>
      <c r="AG122" s="309">
        <f>1</f>
        <v>1</v>
      </c>
      <c r="AH122" s="212">
        <f>1</f>
        <v>1</v>
      </c>
      <c r="AI122" s="134">
        <f>1</f>
        <v>1</v>
      </c>
      <c r="AJ122" s="309">
        <f>1</f>
        <v>1</v>
      </c>
      <c r="AK122" s="212">
        <f>1</f>
        <v>1</v>
      </c>
      <c r="AL122" s="134">
        <f>1</f>
        <v>1</v>
      </c>
      <c r="AM122" s="309">
        <f>1</f>
        <v>1</v>
      </c>
      <c r="AN122" s="212">
        <f>1</f>
        <v>1</v>
      </c>
      <c r="AO122" s="134">
        <f>1</f>
        <v>1</v>
      </c>
      <c r="AP122" s="309">
        <f>1</f>
        <v>1</v>
      </c>
      <c r="AQ122" s="134">
        <f>1</f>
        <v>1</v>
      </c>
      <c r="AR122" s="134">
        <f>1</f>
        <v>1</v>
      </c>
      <c r="AS122" s="309">
        <f>1</f>
        <v>1</v>
      </c>
      <c r="AT122" s="134">
        <f>1</f>
        <v>1</v>
      </c>
      <c r="AU122" s="309">
        <f>1</f>
        <v>1</v>
      </c>
      <c r="AV122" s="134">
        <f>1</f>
        <v>1</v>
      </c>
      <c r="AW122" s="134">
        <f>1</f>
        <v>1</v>
      </c>
      <c r="AX122" s="212">
        <f>1</f>
        <v>1</v>
      </c>
      <c r="AY122" s="134">
        <f>1</f>
        <v>1</v>
      </c>
      <c r="AZ122" s="309">
        <f>1</f>
        <v>1</v>
      </c>
      <c r="BA122" s="213">
        <f>1</f>
        <v>1</v>
      </c>
      <c r="BB122" s="134">
        <f>1</f>
        <v>1</v>
      </c>
      <c r="BC122" s="212">
        <f>1</f>
        <v>1</v>
      </c>
      <c r="BD122" s="134">
        <f>1</f>
        <v>1</v>
      </c>
      <c r="BE122" s="309">
        <f>1</f>
        <v>1</v>
      </c>
      <c r="BF122" s="212">
        <f>1</f>
        <v>1</v>
      </c>
      <c r="BG122" s="60">
        <f>1</f>
        <v>1</v>
      </c>
      <c r="BH122" s="60">
        <f>1</f>
        <v>1</v>
      </c>
      <c r="BI122" s="437" t="s">
        <v>973</v>
      </c>
      <c r="BK122" s="44">
        <v>59</v>
      </c>
      <c r="BL122" s="950" t="b">
        <f t="shared" si="9"/>
        <v>0</v>
      </c>
      <c r="BO122" s="950"/>
    </row>
    <row r="123" spans="1:67" s="44" customFormat="1" x14ac:dyDescent="0.25">
      <c r="A123" s="1366"/>
      <c r="B123" s="1374"/>
      <c r="C123" s="57" t="s">
        <v>956</v>
      </c>
      <c r="D123" s="90">
        <v>3</v>
      </c>
      <c r="E123" s="84" t="s">
        <v>955</v>
      </c>
      <c r="F123" s="60">
        <f t="shared" si="11"/>
        <v>26</v>
      </c>
      <c r="G123" s="459"/>
      <c r="H123" s="460"/>
      <c r="I123" s="460"/>
      <c r="J123" s="460"/>
      <c r="K123" s="461"/>
      <c r="L123" s="494"/>
      <c r="M123" s="134">
        <f>IF(VLOOKUP(M$2,'TIS Site Config'!$A$4:$AQ$51,3,FALSE)&lt;&gt;"Soft",
         VLOOKUP(M$2,'Tower configuration'!$A$4:$DM$51,114,FALSE)*2,0)</f>
        <v>0</v>
      </c>
      <c r="N123" s="212">
        <f>IF(VLOOKUP(N$2,'TIS Site Config'!$A$4:$AQ$51,3,FALSE)&lt;&gt;"Soft",
         VLOOKUP(N$2,'Tower configuration'!$A$4:$DM$51,114,FALSE)*2,0)</f>
        <v>0</v>
      </c>
      <c r="O123" s="215">
        <f>IF(VLOOKUP(O$2,'TIS Site Config'!$A$4:$AQ$51,3,FALSE)&lt;&gt;"Soft",
         VLOOKUP(O$2,'Tower configuration'!$A$4:$DM$51,114,FALSE)*2,0)</f>
        <v>0</v>
      </c>
      <c r="P123" s="309">
        <f>IF(VLOOKUP(P$2,'TIS Site Config'!$A$4:$AQ$51,3,FALSE)&lt;&gt;"Soft",
         VLOOKUP(P$2,'Tower configuration'!$A$4:$DM$51,114,FALSE)*2,0)</f>
        <v>2</v>
      </c>
      <c r="Q123" s="212">
        <f>IF(VLOOKUP(Q$2,'TIS Site Config'!$A$4:$AQ$51,3,FALSE)&lt;&gt;"Soft",
         VLOOKUP(Q$2,'Tower configuration'!$A$4:$DM$51,114,FALSE)*2,0)</f>
        <v>0</v>
      </c>
      <c r="R123" s="134">
        <f>IF(VLOOKUP(R$2,'TIS Site Config'!$A$4:$AQ$51,3,FALSE)&lt;&gt;"Soft",
         VLOOKUP(R$2,'Tower configuration'!$A$4:$DM$51,114,FALSE)*2,0)</f>
        <v>0</v>
      </c>
      <c r="S123" s="309">
        <f>IF(VLOOKUP(S$2,'TIS Site Config'!$A$4:$AQ$51,3,FALSE)&lt;&gt;"Soft",
         VLOOKUP(S$2,'Tower configuration'!$A$4:$DM$51,114,FALSE)*2,0)</f>
        <v>0</v>
      </c>
      <c r="T123" s="212">
        <f>IF(VLOOKUP(T$2,'TIS Site Config'!$A$4:$AQ$51,3,FALSE)&lt;&gt;"Soft",
         VLOOKUP(T$2,'Tower configuration'!$A$4:$DM$51,114,FALSE)*2,0)</f>
        <v>2</v>
      </c>
      <c r="U123" s="134">
        <f>IF(VLOOKUP(U$2,'TIS Site Config'!$A$4:$AQ$51,3,FALSE)&lt;&gt;"Soft",
         VLOOKUP(U$2,'Tower configuration'!$A$4:$DM$51,114,FALSE)*2,0)</f>
        <v>0</v>
      </c>
      <c r="V123" s="212">
        <f>IF(VLOOKUP(V$2,'TIS Site Config'!$A$4:$AQ$51,3,FALSE)&lt;&gt;"Soft",
         VLOOKUP(V$2,'Tower configuration'!$A$4:$DM$51,114,FALSE)*2,0)</f>
        <v>0</v>
      </c>
      <c r="W123" s="214">
        <f>IF(VLOOKUP(W$2,'TIS Site Config'!$A$4:$AQ$51,3,FALSE)&lt;&gt;"Soft",
         VLOOKUP(W$2,'Tower configuration'!$A$4:$DM$51,114,FALSE)*2,0)</f>
        <v>0</v>
      </c>
      <c r="X123" s="309">
        <f>IF(VLOOKUP(X$2,'TIS Site Config'!$A$4:$AQ$51,3,FALSE)&lt;&gt;"Soft",
         VLOOKUP(X$2,'Tower configuration'!$A$4:$DM$51,114,FALSE)*2,0)</f>
        <v>2</v>
      </c>
      <c r="Y123" s="212">
        <f>IF(VLOOKUP(Y$2,'TIS Site Config'!$A$4:$AQ$51,3,FALSE)&lt;&gt;"Soft",
         VLOOKUP(Y$2,'Tower configuration'!$A$4:$DM$51,114,FALSE)*2,0)</f>
        <v>0</v>
      </c>
      <c r="Z123" s="134">
        <f>IF(VLOOKUP(Z$2,'TIS Site Config'!$A$4:$AQ$51,3,FALSE)&lt;&gt;"Soft",
         VLOOKUP(Z$2,'Tower configuration'!$A$4:$DM$51,114,FALSE)*2,0)</f>
        <v>0</v>
      </c>
      <c r="AA123" s="309">
        <f>IF(VLOOKUP(AA$2,'TIS Site Config'!$A$4:$AQ$51,3,FALSE)&lt;&gt;"Soft",
         VLOOKUP(AA$2,'Tower configuration'!$A$4:$DM$51,114,FALSE)*2,0)</f>
        <v>0</v>
      </c>
      <c r="AB123" s="212">
        <f>IF(VLOOKUP(AB$2,'TIS Site Config'!$A$4:$AQ$51,3,FALSE)&lt;&gt;"Soft",
         VLOOKUP(AB$2,'Tower configuration'!$A$4:$DM$51,114,FALSE)*2,0)</f>
        <v>0</v>
      </c>
      <c r="AC123" s="309">
        <f>IF(VLOOKUP(AC$2,'TIS Site Config'!$A$4:$AQ$51,3,FALSE)&lt;&gt;"Soft",
         VLOOKUP(AC$2,'Tower configuration'!$A$4:$DM$51,114,FALSE)*2,0)</f>
        <v>0</v>
      </c>
      <c r="AD123" s="213">
        <f>IF(VLOOKUP(AD$2,'TIS Site Config'!$A$4:$AQ$51,3,FALSE)&lt;&gt;"Soft",
         VLOOKUP(AD$2,'Tower configuration'!$A$4:$DM$51,114,FALSE)*2,0)</f>
        <v>0</v>
      </c>
      <c r="AE123" s="213">
        <f>IF(VLOOKUP(AE$2,'TIS Site Config'!$A$4:$AQ$51,3,FALSE)&lt;&gt;"Soft",
         VLOOKUP(AE$2,'Tower configuration'!$A$4:$DM$51,114,FALSE)*2,0)</f>
        <v>0</v>
      </c>
      <c r="AF123" s="39">
        <f>IF(VLOOKUP(AF$2,'TIS Site Config'!$A$4:$AQ$51,3,FALSE)&lt;&gt;"Soft",
         VLOOKUP(AF$2,'Tower configuration'!$A$4:$DM$51,114,FALSE)*2,0)</f>
        <v>0</v>
      </c>
      <c r="AG123" s="309">
        <f>IF(VLOOKUP(AG$2,'TIS Site Config'!$A$4:$AQ$51,3,FALSE)&lt;&gt;"Soft",
         VLOOKUP(AG$2,'Tower configuration'!$A$4:$DM$51,114,FALSE)*2,0)</f>
        <v>0</v>
      </c>
      <c r="AH123" s="212">
        <f>IF(VLOOKUP(AH$2,'TIS Site Config'!$A$4:$AQ$51,3,FALSE)&lt;&gt;"Soft",
         VLOOKUP(AH$2,'Tower configuration'!$A$4:$DM$51,114,FALSE)*2,0)</f>
        <v>0</v>
      </c>
      <c r="AI123" s="134">
        <f>IF(VLOOKUP(AI$2,'TIS Site Config'!$A$4:$AQ$51,3,FALSE)&lt;&gt;"Soft",
         VLOOKUP(AI$2,'Tower configuration'!$A$4:$DM$51,114,FALSE)*2,0)</f>
        <v>0</v>
      </c>
      <c r="AJ123" s="309">
        <f>IF(VLOOKUP(AJ$2,'TIS Site Config'!$A$4:$AQ$51,3,FALSE)&lt;&gt;"Soft",
         VLOOKUP(AJ$2,'Tower configuration'!$A$4:$DM$51,114,FALSE)*2,0)</f>
        <v>0</v>
      </c>
      <c r="AK123" s="212">
        <f>IF(VLOOKUP(AK$2,'TIS Site Config'!$A$4:$AQ$51,3,FALSE)&lt;&gt;"Soft",
         VLOOKUP(AK$2,'Tower configuration'!$A$4:$DM$51,114,FALSE)*2,0)</f>
        <v>0</v>
      </c>
      <c r="AL123" s="134">
        <f>IF(VLOOKUP(AL$2,'TIS Site Config'!$A$4:$AQ$51,3,FALSE)&lt;&gt;"Soft",
         VLOOKUP(AL$2,'Tower configuration'!$A$4:$DM$51,114,FALSE)*2,0)</f>
        <v>0</v>
      </c>
      <c r="AM123" s="309">
        <f>IF(VLOOKUP(AM$2,'TIS Site Config'!$A$4:$AQ$51,3,FALSE)&lt;&gt;"Soft",
         VLOOKUP(AM$2,'Tower configuration'!$A$4:$DM$51,114,FALSE)*2,0)</f>
        <v>0</v>
      </c>
      <c r="AN123" s="212">
        <f>IF(VLOOKUP(AN$2,'TIS Site Config'!$A$4:$AQ$51,3,FALSE)&lt;&gt;"Soft",
         VLOOKUP(AN$2,'Tower configuration'!$A$4:$DM$51,114,FALSE)*2,0)</f>
        <v>2</v>
      </c>
      <c r="AO123" s="134">
        <f>IF(VLOOKUP(AO$2,'TIS Site Config'!$A$4:$AQ$51,3,FALSE)&lt;&gt;"Soft",
         VLOOKUP(AO$2,'Tower configuration'!$A$4:$DM$51,114,FALSE)*2,0)</f>
        <v>0</v>
      </c>
      <c r="AP123" s="309">
        <f>IF(VLOOKUP(AP$2,'TIS Site Config'!$A$4:$AQ$51,3,FALSE)&lt;&gt;"Soft",
         VLOOKUP(AP$2,'Tower configuration'!$A$4:$DM$51,114,FALSE)*2,0)</f>
        <v>0</v>
      </c>
      <c r="AQ123" s="134">
        <f>IF(VLOOKUP(AQ$2,'TIS Site Config'!$A$4:$AQ$51,3,FALSE)&lt;&gt;"Soft",
         VLOOKUP(AQ$2,'Tower configuration'!$A$4:$DM$51,114,FALSE)*2,0)</f>
        <v>4</v>
      </c>
      <c r="AR123" s="134">
        <f>IF(VLOOKUP(AR$2,'TIS Site Config'!$A$4:$AQ$51,3,FALSE)&lt;&gt;"Soft",
         VLOOKUP(AR$2,'Tower configuration'!$A$4:$DM$51,114,FALSE)*2,0)</f>
        <v>0</v>
      </c>
      <c r="AS123" s="309">
        <f>IF(VLOOKUP(AS$2,'TIS Site Config'!$A$4:$AQ$51,3,FALSE)&lt;&gt;"Soft",
         VLOOKUP(AS$2,'Tower configuration'!$A$4:$DM$51,114,FALSE)*2,0)</f>
        <v>0</v>
      </c>
      <c r="AT123" s="134">
        <f>IF(VLOOKUP(AT$2,'TIS Site Config'!$A$4:$AQ$51,3,FALSE)&lt;&gt;"Soft",
         VLOOKUP(AT$2,'Tower configuration'!$A$4:$DM$51,114,FALSE)*2,0)</f>
        <v>0</v>
      </c>
      <c r="AU123" s="309">
        <f>IF(VLOOKUP(AU$2,'TIS Site Config'!$A$4:$AQ$51,3,FALSE)&lt;&gt;"Soft",
         VLOOKUP(AU$2,'Tower configuration'!$A$4:$DM$51,114,FALSE)*2,0)</f>
        <v>0</v>
      </c>
      <c r="AV123" s="134">
        <f>IF(VLOOKUP(AV$2,'TIS Site Config'!$A$4:$AQ$51,3,FALSE)&lt;&gt;"Soft",
         VLOOKUP(AV$2,'Tower configuration'!$A$4:$DM$51,114,FALSE)*2,0)</f>
        <v>0</v>
      </c>
      <c r="AW123" s="1012">
        <f>IF(VLOOKUP(AW$2,'TIS Site Config'!$A$4:$AQ$51,3,FALSE)&lt;&gt;"Soft",
         VLOOKUP(AW$2,'Tower configuration'!$A$4:$DM$51,114,FALSE)*2,0)</f>
        <v>0</v>
      </c>
      <c r="AX123" s="212">
        <f>IF(VLOOKUP(AX$2,'TIS Site Config'!$A$4:$AQ$51,3,FALSE)&lt;&gt;"Soft",
         VLOOKUP(AX$2,'Tower configuration'!$A$4:$DM$51,114,FALSE)*2,0)</f>
        <v>4</v>
      </c>
      <c r="AY123" s="134">
        <f>IF(VLOOKUP(AY$2,'TIS Site Config'!$A$4:$AQ$51,3,FALSE)&lt;&gt;"Soft",
         VLOOKUP(AY$2,'Tower configuration'!$A$4:$DM$51,114,FALSE)*2,0)</f>
        <v>0</v>
      </c>
      <c r="AZ123" s="309">
        <f>IF(VLOOKUP(AZ$2,'TIS Site Config'!$A$4:$AQ$51,3,FALSE)&lt;&gt;"Soft",
         VLOOKUP(AZ$2,'Tower configuration'!$A$4:$DM$51,114,FALSE)*2,0)</f>
        <v>2</v>
      </c>
      <c r="BA123" s="213">
        <f>IF(VLOOKUP(BA$2,'TIS Site Config'!$A$4:$AQ$51,3,FALSE)&lt;&gt;"Soft",
         VLOOKUP(BA$2,'Tower configuration'!$A$4:$DM$51,114,FALSE)*2,0)</f>
        <v>0</v>
      </c>
      <c r="BB123" s="134">
        <f>IF(VLOOKUP(BB$2,'TIS Site Config'!$A$4:$AQ$51,3,FALSE)&lt;&gt;"Soft",
         VLOOKUP(BB$2,'Tower configuration'!$A$4:$DM$51,114,FALSE)*2,0)</f>
        <v>0</v>
      </c>
      <c r="BC123" s="212">
        <f>IF(VLOOKUP(BC$2,'TIS Site Config'!$A$4:$AQ$51,3,FALSE)&lt;&gt;"Soft",
         VLOOKUP(BC$2,'Tower configuration'!$A$4:$DM$51,114,FALSE)*2,0)</f>
        <v>4</v>
      </c>
      <c r="BD123" s="134">
        <f>IF(VLOOKUP(BD$2,'TIS Site Config'!$A$4:$AQ$51,3,FALSE)&lt;&gt;"Soft",
         VLOOKUP(BD$2,'Tower configuration'!$A$4:$DM$51,114,FALSE)*2,0)</f>
        <v>4</v>
      </c>
      <c r="BE123" s="309">
        <f>IF(VLOOKUP(BE$2,'TIS Site Config'!$A$4:$AQ$51,3,FALSE)&lt;&gt;"Soft",
         VLOOKUP(BE$2,'Tower configuration'!$A$4:$DM$51,114,FALSE)*2,0)</f>
        <v>0</v>
      </c>
      <c r="BF123" s="212">
        <f>IF(VLOOKUP(BF$2,'TIS Site Config'!$A$4:$AQ$51,3,FALSE)&lt;&gt;"Soft",
         VLOOKUP(BF$2,'Tower configuration'!$A$4:$DM$51,114,FALSE)*2,0)</f>
        <v>0</v>
      </c>
      <c r="BG123" s="60">
        <f>IF(VLOOKUP(BG$2,'TIS Site Config'!$A$4:$AQ$51,3,FALSE)&lt;&gt;"Soft",
         VLOOKUP(BG$2,'Tower configuration'!$A$4:$DM$51,114,FALSE)*2,0)</f>
        <v>0</v>
      </c>
      <c r="BH123" s="60">
        <f>IF(VLOOKUP(BH$2,'TIS Site Config'!$A$4:$AQ$51,3,FALSE)&lt;&gt;"Soft",
         VLOOKUP(BH$2,'Tower configuration'!$A$4:$DM$51,114,FALSE)*2,0)</f>
        <v>0</v>
      </c>
      <c r="BJ123" s="44">
        <f>12000/50</f>
        <v>240</v>
      </c>
      <c r="BK123" s="44">
        <v>28</v>
      </c>
      <c r="BL123" s="950" t="b">
        <f t="shared" si="9"/>
        <v>0</v>
      </c>
      <c r="BO123" s="950"/>
    </row>
    <row r="124" spans="1:67" s="10" customFormat="1" x14ac:dyDescent="0.25">
      <c r="A124" s="1366"/>
      <c r="B124" s="1374"/>
      <c r="C124" s="69" t="s">
        <v>883</v>
      </c>
      <c r="D124" s="91">
        <v>3</v>
      </c>
      <c r="E124" s="85" t="s">
        <v>882</v>
      </c>
      <c r="F124" s="60">
        <f t="shared" si="11"/>
        <v>47</v>
      </c>
      <c r="G124" s="450"/>
      <c r="H124" s="451"/>
      <c r="I124" s="451"/>
      <c r="J124" s="451"/>
      <c r="K124" s="452"/>
      <c r="L124" s="491"/>
      <c r="M124" s="136">
        <f>1</f>
        <v>1</v>
      </c>
      <c r="N124" s="222">
        <f>1</f>
        <v>1</v>
      </c>
      <c r="O124" s="225">
        <f>1</f>
        <v>1</v>
      </c>
      <c r="P124" s="21">
        <f>1</f>
        <v>1</v>
      </c>
      <c r="Q124" s="222">
        <f>1</f>
        <v>1</v>
      </c>
      <c r="R124" s="136">
        <f>1</f>
        <v>1</v>
      </c>
      <c r="S124" s="21">
        <f>1</f>
        <v>1</v>
      </c>
      <c r="T124" s="222">
        <f>1</f>
        <v>1</v>
      </c>
      <c r="U124" s="136">
        <f>1</f>
        <v>1</v>
      </c>
      <c r="V124" s="222">
        <f>1</f>
        <v>1</v>
      </c>
      <c r="W124" s="224">
        <f>1</f>
        <v>1</v>
      </c>
      <c r="X124" s="21">
        <f>1</f>
        <v>1</v>
      </c>
      <c r="Y124" s="222">
        <f>1</f>
        <v>1</v>
      </c>
      <c r="Z124" s="136">
        <f>1</f>
        <v>1</v>
      </c>
      <c r="AA124" s="21">
        <f>1</f>
        <v>1</v>
      </c>
      <c r="AB124" s="222">
        <f>1</f>
        <v>1</v>
      </c>
      <c r="AC124" s="21">
        <f>1</f>
        <v>1</v>
      </c>
      <c r="AD124" s="223">
        <f>1</f>
        <v>1</v>
      </c>
      <c r="AE124" s="223">
        <f>1</f>
        <v>1</v>
      </c>
      <c r="AF124" s="16">
        <f>1</f>
        <v>1</v>
      </c>
      <c r="AG124" s="21">
        <f>1</f>
        <v>1</v>
      </c>
      <c r="AH124" s="222">
        <f>1</f>
        <v>1</v>
      </c>
      <c r="AI124" s="136">
        <f>1</f>
        <v>1</v>
      </c>
      <c r="AJ124" s="21">
        <f>1</f>
        <v>1</v>
      </c>
      <c r="AK124" s="222">
        <f>1</f>
        <v>1</v>
      </c>
      <c r="AL124" s="136">
        <f>1</f>
        <v>1</v>
      </c>
      <c r="AM124" s="21">
        <f>1</f>
        <v>1</v>
      </c>
      <c r="AN124" s="222">
        <f>1</f>
        <v>1</v>
      </c>
      <c r="AO124" s="136">
        <f>1</f>
        <v>1</v>
      </c>
      <c r="AP124" s="21">
        <f>1</f>
        <v>1</v>
      </c>
      <c r="AQ124" s="136">
        <f>1</f>
        <v>1</v>
      </c>
      <c r="AR124" s="136">
        <f>1</f>
        <v>1</v>
      </c>
      <c r="AS124" s="21">
        <f>1</f>
        <v>1</v>
      </c>
      <c r="AT124" s="136">
        <f>1</f>
        <v>1</v>
      </c>
      <c r="AU124" s="21">
        <f>1</f>
        <v>1</v>
      </c>
      <c r="AV124" s="136">
        <f>1</f>
        <v>1</v>
      </c>
      <c r="AW124" s="136">
        <f>1</f>
        <v>1</v>
      </c>
      <c r="AX124" s="222">
        <f>1</f>
        <v>1</v>
      </c>
      <c r="AY124" s="136">
        <f>1</f>
        <v>1</v>
      </c>
      <c r="AZ124" s="21">
        <f>1</f>
        <v>1</v>
      </c>
      <c r="BA124" s="223">
        <f>1</f>
        <v>1</v>
      </c>
      <c r="BB124" s="136">
        <f>1</f>
        <v>1</v>
      </c>
      <c r="BC124" s="222">
        <f>1</f>
        <v>1</v>
      </c>
      <c r="BD124" s="136">
        <f>1</f>
        <v>1</v>
      </c>
      <c r="BE124" s="21">
        <f>1</f>
        <v>1</v>
      </c>
      <c r="BF124" s="222">
        <f>1</f>
        <v>1</v>
      </c>
      <c r="BG124" s="62">
        <f>1</f>
        <v>1</v>
      </c>
      <c r="BH124" s="62">
        <f>1</f>
        <v>1</v>
      </c>
      <c r="BJ124" s="10">
        <f>BJ123*6</f>
        <v>1440</v>
      </c>
      <c r="BK124" s="10">
        <v>59</v>
      </c>
      <c r="BL124" s="950" t="b">
        <f t="shared" si="9"/>
        <v>0</v>
      </c>
      <c r="BO124" s="950"/>
    </row>
    <row r="125" spans="1:67" s="437" customFormat="1" x14ac:dyDescent="0.25">
      <c r="A125" s="1366"/>
      <c r="B125" s="1374"/>
      <c r="C125" s="1014" t="s">
        <v>959</v>
      </c>
      <c r="D125" s="97">
        <v>4</v>
      </c>
      <c r="E125" s="114" t="s">
        <v>960</v>
      </c>
      <c r="F125" s="247">
        <f t="shared" si="11"/>
        <v>1615</v>
      </c>
      <c r="G125" s="1015"/>
      <c r="H125" s="1016"/>
      <c r="I125" s="1016"/>
      <c r="J125" s="1016"/>
      <c r="K125" s="1017"/>
      <c r="L125" s="1018"/>
      <c r="M125" s="141">
        <f>IF(AND(VLOOKUP(M$2,'TIS Site Config'!$A$4:$AQ$51,3,FALSE)&lt;&gt;"Soft",
                   VLOOKUP(M$2,'TIS Site Config'!$A$3:$AQ$51,12,FALSE)&lt;&gt;"ERROR"),
         VLOOKUP(M$2,'TIS Site Config'!$A$3:$AQ$51,12,FALSE)*5,0)</f>
        <v>55</v>
      </c>
      <c r="N125" s="250">
        <f>IF(AND(VLOOKUP(N$2,'TIS Site Config'!$A$4:$AQ$51,3,FALSE)&lt;&gt;"Soft",
                   VLOOKUP(N$2,'TIS Site Config'!$A$3:$AQ$51,12,FALSE)&lt;&gt;"ERROR"),
         VLOOKUP(N$2,'TIS Site Config'!$A$3:$AQ$51,12,FALSE)*5,0)</f>
        <v>50</v>
      </c>
      <c r="O125" s="255">
        <f>IF(AND(VLOOKUP(O$2,'TIS Site Config'!$A$4:$AQ$51,3,FALSE)&lt;&gt;"Soft",
                   VLOOKUP(O$2,'TIS Site Config'!$A$3:$AQ$51,12,FALSE)&lt;&gt;"ERROR"),
         VLOOKUP(O$2,'TIS Site Config'!$A$3:$AQ$51,12,FALSE)*5,0)</f>
        <v>75</v>
      </c>
      <c r="P125" s="299">
        <f>IF(AND(VLOOKUP(P$2,'TIS Site Config'!$A$4:$AQ$51,3,FALSE)&lt;&gt;"Soft",
                   VLOOKUP(P$2,'TIS Site Config'!$A$3:$AQ$51,12,FALSE)&lt;&gt;"ERROR"),
         VLOOKUP(P$2,'TIS Site Config'!$A$3:$AQ$51,12,FALSE)*5,0)</f>
        <v>90</v>
      </c>
      <c r="Q125" s="250">
        <f>IF(AND(VLOOKUP(Q$2,'TIS Site Config'!$A$4:$AQ$51,3,FALSE)&lt;&gt;"Soft",
                   VLOOKUP(Q$2,'TIS Site Config'!$A$3:$AQ$51,12,FALSE)&lt;&gt;"ERROR"),
         VLOOKUP(Q$2,'TIS Site Config'!$A$3:$AQ$51,12,FALSE)*5,0)</f>
        <v>10</v>
      </c>
      <c r="R125" s="141">
        <f>IF(AND(VLOOKUP(R$2,'TIS Site Config'!$A$4:$AQ$51,3,FALSE)&lt;&gt;"Soft",
                   VLOOKUP(R$2,'TIS Site Config'!$A$3:$AQ$51,12,FALSE)&lt;&gt;"ERROR"),
         VLOOKUP(R$2,'TIS Site Config'!$A$3:$AQ$51,12,FALSE)*5,0)</f>
        <v>50</v>
      </c>
      <c r="S125" s="299">
        <f>IF(AND(VLOOKUP(S$2,'TIS Site Config'!$A$4:$AQ$51,3,FALSE)&lt;&gt;"Soft",
                   VLOOKUP(S$2,'TIS Site Config'!$A$3:$AQ$51,12,FALSE)&lt;&gt;"ERROR"),
         VLOOKUP(S$2,'TIS Site Config'!$A$3:$AQ$51,12,FALSE)*5,0)</f>
        <v>10</v>
      </c>
      <c r="T125" s="250">
        <f>IF(AND(VLOOKUP(T$2,'TIS Site Config'!$A$4:$AQ$51,3,FALSE)&lt;&gt;"Soft",
                   VLOOKUP(T$2,'TIS Site Config'!$A$3:$AQ$51,12,FALSE)&lt;&gt;"ERROR"),
         VLOOKUP(T$2,'TIS Site Config'!$A$3:$AQ$51,12,FALSE)*5,0)</f>
        <v>60</v>
      </c>
      <c r="U125" s="141">
        <f>IF(AND(VLOOKUP(U$2,'TIS Site Config'!$A$4:$AQ$51,3,FALSE)&lt;&gt;"Soft",
                   VLOOKUP(U$2,'TIS Site Config'!$A$3:$AQ$51,12,FALSE)&lt;&gt;"ERROR"),
         VLOOKUP(U$2,'TIS Site Config'!$A$3:$AQ$51,12,FALSE)*5,0)</f>
        <v>30</v>
      </c>
      <c r="V125" s="250">
        <f>IF(AND(VLOOKUP(V$2,'TIS Site Config'!$A$4:$AQ$51,3,FALSE)&lt;&gt;"Soft",
                   VLOOKUP(V$2,'TIS Site Config'!$A$3:$AQ$51,12,FALSE)&lt;&gt;"ERROR"),
         VLOOKUP(V$2,'TIS Site Config'!$A$3:$AQ$51,12,FALSE)*5,0)</f>
        <v>10</v>
      </c>
      <c r="W125" s="254">
        <f>IF(AND(VLOOKUP(W$2,'TIS Site Config'!$A$4:$AQ$51,3,FALSE)&lt;&gt;"Soft",
                   VLOOKUP(W$2,'TIS Site Config'!$A$3:$AQ$51,12,FALSE)&lt;&gt;"ERROR"),
         VLOOKUP(W$2,'TIS Site Config'!$A$3:$AQ$51,12,FALSE)*5,0)</f>
        <v>55</v>
      </c>
      <c r="X125" s="299">
        <f>IF(AND(VLOOKUP(X$2,'TIS Site Config'!$A$4:$AQ$51,3,FALSE)&lt;&gt;"Soft",
                   VLOOKUP(X$2,'TIS Site Config'!$A$3:$AQ$51,12,FALSE)&lt;&gt;"ERROR"),
         VLOOKUP(X$2,'TIS Site Config'!$A$3:$AQ$51,12,FALSE)*5,0)</f>
        <v>30</v>
      </c>
      <c r="Y125" s="250">
        <f>IF(AND(VLOOKUP(Y$2,'TIS Site Config'!$A$4:$AQ$51,3,FALSE)&lt;&gt;"Soft",
                   VLOOKUP(Y$2,'TIS Site Config'!$A$3:$AQ$51,12,FALSE)&lt;&gt;"ERROR"),
         VLOOKUP(Y$2,'TIS Site Config'!$A$3:$AQ$51,12,FALSE)*5,0)</f>
        <v>50</v>
      </c>
      <c r="Z125" s="141">
        <f>IF(AND(VLOOKUP(Z$2,'TIS Site Config'!$A$4:$AQ$51,3,FALSE)&lt;&gt;"Soft",
                   VLOOKUP(Z$2,'TIS Site Config'!$A$3:$AQ$51,12,FALSE)&lt;&gt;"ERROR"),
         VLOOKUP(Z$2,'TIS Site Config'!$A$3:$AQ$51,12,FALSE)*5,0)</f>
        <v>10</v>
      </c>
      <c r="AA125" s="299">
        <f>IF(AND(VLOOKUP(AA$2,'TIS Site Config'!$A$4:$AQ$51,3,FALSE)&lt;&gt;"Soft",
                   VLOOKUP(AA$2,'TIS Site Config'!$A$3:$AQ$51,12,FALSE)&lt;&gt;"ERROR"),
         VLOOKUP(AA$2,'TIS Site Config'!$A$3:$AQ$51,12,FALSE)*5,0)</f>
        <v>50</v>
      </c>
      <c r="AB125" s="250">
        <f>IF(AND(VLOOKUP(AB$2,'TIS Site Config'!$A$4:$AQ$51,3,FALSE)&lt;&gt;"Soft",
                   VLOOKUP(AB$2,'TIS Site Config'!$A$3:$AQ$51,12,FALSE)&lt;&gt;"ERROR"),
         VLOOKUP(AB$2,'TIS Site Config'!$A$3:$AQ$51,12,FALSE)*5,0)</f>
        <v>10</v>
      </c>
      <c r="AC125" s="299">
        <f>IF(AND(VLOOKUP(AC$2,'TIS Site Config'!$A$4:$AQ$51,3,FALSE)&lt;&gt;"Soft",
                   VLOOKUP(AC$2,'TIS Site Config'!$A$3:$AQ$51,12,FALSE)&lt;&gt;"ERROR"),
         VLOOKUP(AC$2,'TIS Site Config'!$A$3:$AQ$51,12,FALSE)*5,0)</f>
        <v>55</v>
      </c>
      <c r="AD125" s="251">
        <f>IF(AND(VLOOKUP(AD$2,'TIS Site Config'!$A$4:$AQ$51,3,FALSE)&lt;&gt;"Soft",
                   VLOOKUP(AD$2,'TIS Site Config'!$A$3:$AQ$51,12,FALSE)&lt;&gt;"ERROR"),
         VLOOKUP(AD$2,'TIS Site Config'!$A$3:$AQ$51,12,FALSE)*5,0)</f>
        <v>40</v>
      </c>
      <c r="AE125" s="251">
        <f>IF(AND(VLOOKUP(AE$2,'TIS Site Config'!$A$4:$AQ$51,3,FALSE)&lt;&gt;"Soft",
                   VLOOKUP(AE$2,'TIS Site Config'!$A$3:$AQ$51,12,FALSE)&lt;&gt;"ERROR"),
         VLOOKUP(AE$2,'TIS Site Config'!$A$3:$AQ$51,12,FALSE)*5,0)</f>
        <v>65</v>
      </c>
      <c r="AF125" s="252">
        <f>IF(AND(VLOOKUP(AF$2,'TIS Site Config'!$A$4:$AQ$51,3,FALSE)&lt;&gt;"Soft",
                   VLOOKUP(AF$2,'TIS Site Config'!$A$3:$AQ$51,12,FALSE)&lt;&gt;"ERROR"),
         VLOOKUP(AF$2,'TIS Site Config'!$A$3:$AQ$51,12,FALSE)*5,0)</f>
        <v>50</v>
      </c>
      <c r="AG125" s="299">
        <f>IF(AND(VLOOKUP(AG$2,'TIS Site Config'!$A$4:$AQ$51,3,FALSE)&lt;&gt;"Soft",
                   VLOOKUP(AG$2,'TIS Site Config'!$A$3:$AQ$51,12,FALSE)&lt;&gt;"ERROR"),
         VLOOKUP(AG$2,'TIS Site Config'!$A$3:$AQ$51,12,FALSE)*5,0)</f>
        <v>60</v>
      </c>
      <c r="AH125" s="250">
        <f>IF(AND(VLOOKUP(AH$2,'TIS Site Config'!$A$4:$AQ$51,3,FALSE)&lt;&gt;"Soft",
                   VLOOKUP(AH$2,'TIS Site Config'!$A$3:$AQ$51,12,FALSE)&lt;&gt;"ERROR"),
         VLOOKUP(AH$2,'TIS Site Config'!$A$3:$AQ$51,12,FALSE)*5,0)</f>
        <v>65</v>
      </c>
      <c r="AI125" s="141">
        <f>IF(AND(VLOOKUP(AI$2,'TIS Site Config'!$A$4:$AQ$51,3,FALSE)&lt;&gt;"Soft",
                   VLOOKUP(AI$2,'TIS Site Config'!$A$3:$AQ$51,12,FALSE)&lt;&gt;"ERROR"),
         VLOOKUP(AI$2,'TIS Site Config'!$A$3:$AQ$51,12,FALSE)*5,0)</f>
        <v>10</v>
      </c>
      <c r="AJ125" s="299">
        <f>IF(AND(VLOOKUP(AJ$2,'TIS Site Config'!$A$4:$AQ$51,3,FALSE)&lt;&gt;"Soft",
                   VLOOKUP(AJ$2,'TIS Site Config'!$A$3:$AQ$51,12,FALSE)&lt;&gt;"ERROR"),
         VLOOKUP(AJ$2,'TIS Site Config'!$A$3:$AQ$51,12,FALSE)*5,0)</f>
        <v>10</v>
      </c>
      <c r="AK125" s="250">
        <f>IF(AND(VLOOKUP(AK$2,'TIS Site Config'!$A$4:$AQ$51,3,FALSE)&lt;&gt;"Soft",
                   VLOOKUP(AK$2,'TIS Site Config'!$A$3:$AQ$51,12,FALSE)&lt;&gt;"ERROR"),
         VLOOKUP(AK$2,'TIS Site Config'!$A$3:$AQ$51,12,FALSE)*5,0)</f>
        <v>10</v>
      </c>
      <c r="AL125" s="141">
        <f>IF(AND(VLOOKUP(AL$2,'TIS Site Config'!$A$4:$AQ$51,3,FALSE)&lt;&gt;"Soft",
                   VLOOKUP(AL$2,'TIS Site Config'!$A$3:$AQ$51,12,FALSE)&lt;&gt;"ERROR"),
         VLOOKUP(AL$2,'TIS Site Config'!$A$3:$AQ$51,12,FALSE)*5,0)</f>
        <v>10</v>
      </c>
      <c r="AM125" s="299">
        <f>IF(AND(VLOOKUP(AM$2,'TIS Site Config'!$A$4:$AQ$51,3,FALSE)&lt;&gt;"Soft",
                   VLOOKUP(AM$2,'TIS Site Config'!$A$3:$AQ$51,12,FALSE)&lt;&gt;"ERROR"),
         VLOOKUP(AM$2,'TIS Site Config'!$A$3:$AQ$51,12,FALSE)*5,0)</f>
        <v>10</v>
      </c>
      <c r="AN125" s="250">
        <f>IF(AND(VLOOKUP(AN$2,'TIS Site Config'!$A$4:$AQ$51,3,FALSE)&lt;&gt;"Soft",
                   VLOOKUP(AN$2,'TIS Site Config'!$A$3:$AQ$51,12,FALSE)&lt;&gt;"ERROR"),
         VLOOKUP(AN$2,'TIS Site Config'!$A$3:$AQ$51,12,FALSE)*5,0)</f>
        <v>35</v>
      </c>
      <c r="AO125" s="141">
        <f>IF(AND(VLOOKUP(AO$2,'TIS Site Config'!$A$4:$AQ$51,3,FALSE)&lt;&gt;"Soft",
                   VLOOKUP(AO$2,'TIS Site Config'!$A$3:$AQ$51,12,FALSE)&lt;&gt;"ERROR"),
         VLOOKUP(AO$2,'TIS Site Config'!$A$3:$AQ$51,12,FALSE)*5,0)</f>
        <v>30</v>
      </c>
      <c r="AP125" s="299">
        <f>IF(AND(VLOOKUP(AP$2,'TIS Site Config'!$A$4:$AQ$51,3,FALSE)&lt;&gt;"Soft",
                   VLOOKUP(AP$2,'TIS Site Config'!$A$3:$AQ$51,12,FALSE)&lt;&gt;"ERROR"),
         VLOOKUP(AP$2,'TIS Site Config'!$A$3:$AQ$51,12,FALSE)*5,0)</f>
        <v>10</v>
      </c>
      <c r="AQ125" s="141">
        <f>IF(AND(VLOOKUP(AQ$2,'TIS Site Config'!$A$4:$AQ$51,3,FALSE)&lt;&gt;"Soft",
                   VLOOKUP(AQ$2,'TIS Site Config'!$A$3:$AQ$51,12,FALSE)&lt;&gt;"ERROR"),
         VLOOKUP(AQ$2,'TIS Site Config'!$A$3:$AQ$51,12,FALSE)*5,0)</f>
        <v>30</v>
      </c>
      <c r="AR125" s="141">
        <f>IF(AND(VLOOKUP(AR$2,'TIS Site Config'!$A$4:$AQ$51,3,FALSE)&lt;&gt;"Soft",
                   VLOOKUP(AR$2,'TIS Site Config'!$A$3:$AQ$51,12,FALSE)&lt;&gt;"ERROR"),
         VLOOKUP(AR$2,'TIS Site Config'!$A$3:$AQ$51,12,FALSE)*5,0)</f>
        <v>10</v>
      </c>
      <c r="AS125" s="299">
        <f>IF(AND(VLOOKUP(AS$2,'TIS Site Config'!$A$4:$AQ$51,3,FALSE)&lt;&gt;"Soft",
                   VLOOKUP(AS$2,'TIS Site Config'!$A$3:$AQ$51,12,FALSE)&lt;&gt;"ERROR"),
         VLOOKUP(AS$2,'TIS Site Config'!$A$3:$AQ$51,12,FALSE)*5,0)</f>
        <v>10</v>
      </c>
      <c r="AT125" s="141">
        <f>IF(AND(VLOOKUP(AT$2,'TIS Site Config'!$A$4:$AQ$51,3,FALSE)&lt;&gt;"Soft",
                   VLOOKUP(AT$2,'TIS Site Config'!$A$3:$AQ$51,12,FALSE)&lt;&gt;"ERROR"),
         VLOOKUP(AT$2,'TIS Site Config'!$A$3:$AQ$51,12,FALSE)*5,0)</f>
        <v>10</v>
      </c>
      <c r="AU125" s="299">
        <f>IF(AND(VLOOKUP(AU$2,'TIS Site Config'!$A$4:$AQ$51,3,FALSE)&lt;&gt;"Soft",
                   VLOOKUP(AU$2,'TIS Site Config'!$A$3:$AQ$51,12,FALSE)&lt;&gt;"ERROR"),
         VLOOKUP(AU$2,'TIS Site Config'!$A$3:$AQ$51,12,FALSE)*5,0)</f>
        <v>10</v>
      </c>
      <c r="AV125" s="141">
        <f>IF(AND(VLOOKUP(AV$2,'TIS Site Config'!$A$4:$AQ$51,3,FALSE)&lt;&gt;"Soft",
                   VLOOKUP(AV$2,'TIS Site Config'!$A$3:$AQ$51,12,FALSE)&lt;&gt;"ERROR"),
         VLOOKUP(AV$2,'TIS Site Config'!$A$3:$AQ$51,12,FALSE)*5,0)</f>
        <v>10</v>
      </c>
      <c r="AW125" s="141">
        <f>IF(AND(VLOOKUP(AW$2,'TIS Site Config'!$A$4:$AQ$51,3,FALSE)&lt;&gt;"Soft",
                   VLOOKUP(AW$2,'TIS Site Config'!$A$3:$AQ$51,12,FALSE)&lt;&gt;"ERROR"),
         VLOOKUP(AW$2,'TIS Site Config'!$A$3:$AQ$51,12,FALSE)*5,0)</f>
        <v>60</v>
      </c>
      <c r="AX125" s="250">
        <f>IF(AND(VLOOKUP(AX$2,'TIS Site Config'!$A$4:$AQ$51,3,FALSE)&lt;&gt;"Soft",
                   VLOOKUP(AX$2,'TIS Site Config'!$A$3:$AQ$51,12,FALSE)&lt;&gt;"ERROR"),
         VLOOKUP(AX$2,'TIS Site Config'!$A$3:$AQ$51,12,FALSE)*5,0)</f>
        <v>25</v>
      </c>
      <c r="AY125" s="141">
        <f>IF(AND(VLOOKUP(AY$2,'TIS Site Config'!$A$4:$AQ$51,3,FALSE)&lt;&gt;"Soft",
                   VLOOKUP(AY$2,'TIS Site Config'!$A$3:$AQ$51,12,FALSE)&lt;&gt;"ERROR"),
         VLOOKUP(AY$2,'TIS Site Config'!$A$3:$AQ$51,12,FALSE)*5,0)</f>
        <v>55</v>
      </c>
      <c r="AZ125" s="299">
        <f>IF(AND(VLOOKUP(AZ$2,'TIS Site Config'!$A$4:$AQ$51,3,FALSE)&lt;&gt;"Soft",
                   VLOOKUP(AZ$2,'TIS Site Config'!$A$3:$AQ$51,12,FALSE)&lt;&gt;"ERROR"),
         VLOOKUP(AZ$2,'TIS Site Config'!$A$3:$AQ$51,12,FALSE)*5,0)</f>
        <v>75</v>
      </c>
      <c r="BA125" s="251">
        <f>IF(AND(VLOOKUP(BA$2,'TIS Site Config'!$A$4:$AQ$51,3,FALSE)&lt;&gt;"Soft",
                   VLOOKUP(BA$2,'TIS Site Config'!$A$3:$AQ$51,12,FALSE)&lt;&gt;"ERROR"),
         VLOOKUP(BA$2,'TIS Site Config'!$A$3:$AQ$51,12,FALSE)*5,0)</f>
        <v>85</v>
      </c>
      <c r="BB125" s="141">
        <f>IF(AND(VLOOKUP(BB$2,'TIS Site Config'!$A$4:$AQ$51,3,FALSE)&lt;&gt;"Soft",
                   VLOOKUP(BB$2,'TIS Site Config'!$A$3:$AQ$51,12,FALSE)&lt;&gt;"ERROR"),
         VLOOKUP(BB$2,'TIS Site Config'!$A$3:$AQ$51,12,FALSE)*5,0)</f>
        <v>10</v>
      </c>
      <c r="BC125" s="250">
        <f>IF(AND(VLOOKUP(BC$2,'TIS Site Config'!$A$4:$AQ$51,3,FALSE)&lt;&gt;"Soft",
                   VLOOKUP(BC$2,'TIS Site Config'!$A$3:$AQ$51,12,FALSE)&lt;&gt;"ERROR"),
         VLOOKUP(BC$2,'TIS Site Config'!$A$3:$AQ$51,12,FALSE)*5,0)</f>
        <v>10</v>
      </c>
      <c r="BD125" s="141">
        <f>IF(AND(VLOOKUP(BD$2,'TIS Site Config'!$A$4:$AQ$51,3,FALSE)&lt;&gt;"Soft",
                   VLOOKUP(BD$2,'TIS Site Config'!$A$3:$AQ$51,12,FALSE)&lt;&gt;"ERROR"),
         VLOOKUP(BD$2,'TIS Site Config'!$A$3:$AQ$51,12,FALSE)*5,0)</f>
        <v>25</v>
      </c>
      <c r="BE125" s="299">
        <f>IF(AND(VLOOKUP(BE$2,'TIS Site Config'!$A$4:$AQ$51,3,FALSE)&lt;&gt;"Soft",
                   VLOOKUP(BE$2,'TIS Site Config'!$A$3:$AQ$51,12,FALSE)&lt;&gt;"ERROR"),
         VLOOKUP(BE$2,'TIS Site Config'!$A$3:$AQ$51,12,FALSE)*5,0)</f>
        <v>30</v>
      </c>
      <c r="BF125" s="250">
        <f>IF(AND(VLOOKUP(BF$2,'TIS Site Config'!$A$4:$AQ$51,3,FALSE)&lt;&gt;"Soft",
                   VLOOKUP(BF$2,'TIS Site Config'!$A$3:$AQ$51,12,FALSE)&lt;&gt;"ERROR"),
         VLOOKUP(BF$2,'TIS Site Config'!$A$3:$AQ$51,12,FALSE)*5,0)</f>
        <v>10</v>
      </c>
      <c r="BG125" s="253">
        <f>IF(AND(VLOOKUP(BG$2,'TIS Site Config'!$A$4:$AQ$51,3,FALSE)&lt;&gt;"Soft",
                   VLOOKUP(BG$2,'TIS Site Config'!$A$3:$AQ$51,12,FALSE)&lt;&gt;"ERROR"),
         VLOOKUP(BG$2,'TIS Site Config'!$A$3:$AQ$51,12,FALSE)*5,0)</f>
        <v>45</v>
      </c>
      <c r="BH125" s="253">
        <f>IF(AND(VLOOKUP(BH$2,'TIS Site Config'!$A$4:$AQ$51,3,FALSE)&lt;&gt;"Soft",
                   VLOOKUP(BH$2,'TIS Site Config'!$A$3:$AQ$51,12,FALSE)&lt;&gt;"ERROR"),
         VLOOKUP(BH$2,'TIS Site Config'!$A$3:$AQ$51,12,FALSE)*5,0)</f>
        <v>10</v>
      </c>
      <c r="BK125" s="437">
        <v>3790</v>
      </c>
      <c r="BL125" s="950" t="b">
        <f t="shared" si="9"/>
        <v>0</v>
      </c>
      <c r="BO125" s="950"/>
    </row>
    <row r="126" spans="1:67" s="10" customFormat="1" ht="15.75" thickBot="1" x14ac:dyDescent="0.3">
      <c r="A126" s="1366"/>
      <c r="B126" s="1375"/>
      <c r="C126" s="63" t="s">
        <v>562</v>
      </c>
      <c r="D126" s="58">
        <v>3</v>
      </c>
      <c r="E126" s="110" t="s">
        <v>425</v>
      </c>
      <c r="F126" s="58">
        <f t="shared" si="11"/>
        <v>144</v>
      </c>
      <c r="G126" s="479"/>
      <c r="H126" s="480"/>
      <c r="I126" s="480"/>
      <c r="J126" s="480"/>
      <c r="K126" s="481"/>
      <c r="L126" s="502"/>
      <c r="M126" s="133">
        <f>IF(VLOOKUP(M$2,'TIS Site Config'!$A$4:$AQ$51,3,FALSE)&lt;&gt;"Soft",
   ROUNDUP(VLOOKUP(M$2,'Tubing calculator'!$A$4:$AD$51,27,FALSE)/500,0),
  0)</f>
        <v>4</v>
      </c>
      <c r="N126" s="207">
        <f>IF(VLOOKUP(N$2,'TIS Site Config'!$A$4:$AQ$51,3,FALSE)&lt;&gt;"Soft",
   ROUNDUP(VLOOKUP(N$2,'Tubing calculator'!$A$4:$AD$51,27,FALSE)/500,0),
  0)</f>
        <v>4</v>
      </c>
      <c r="O126" s="211">
        <f>IF(VLOOKUP(O$2,'TIS Site Config'!$A$4:$AQ$51,3,FALSE)&lt;&gt;"Soft",
   ROUNDUP(VLOOKUP(O$2,'Tubing calculator'!$A$4:$AD$51,27,FALSE)/500,0),
  0)</f>
        <v>4</v>
      </c>
      <c r="P126" s="206">
        <f>IF(VLOOKUP(P$2,'TIS Site Config'!$A$4:$AQ$51,3,FALSE)&lt;&gt;"Soft",
   ROUNDUP(VLOOKUP(P$2,'Tubing calculator'!$A$4:$AD$51,27,FALSE)/500,0),
  0)</f>
        <v>4</v>
      </c>
      <c r="Q126" s="207">
        <f>IF(VLOOKUP(Q$2,'TIS Site Config'!$A$4:$AQ$51,3,FALSE)&lt;&gt;"Soft",
   ROUNDUP(VLOOKUP(Q$2,'Tubing calculator'!$A$4:$AD$51,27,FALSE)/500,0),
  0)</f>
        <v>2</v>
      </c>
      <c r="R126" s="133">
        <f>IF(VLOOKUP(R$2,'TIS Site Config'!$A$4:$AQ$51,3,FALSE)&lt;&gt;"Soft",
   ROUNDUP(VLOOKUP(R$2,'Tubing calculator'!$A$4:$AD$51,27,FALSE)/500,0),
  0)</f>
        <v>4</v>
      </c>
      <c r="S126" s="206">
        <f>IF(VLOOKUP(S$2,'TIS Site Config'!$A$4:$AQ$51,3,FALSE)&lt;&gt;"Soft",
   ROUNDUP(VLOOKUP(S$2,'Tubing calculator'!$A$4:$AD$51,27,FALSE)/500,0),
  0)</f>
        <v>2</v>
      </c>
      <c r="T126" s="207">
        <f>IF(VLOOKUP(T$2,'TIS Site Config'!$A$4:$AQ$51,3,FALSE)&lt;&gt;"Soft",
   ROUNDUP(VLOOKUP(T$2,'Tubing calculator'!$A$4:$AD$51,27,FALSE)/500,0),
  0)</f>
        <v>4</v>
      </c>
      <c r="U126" s="133">
        <f>IF(VLOOKUP(U$2,'TIS Site Config'!$A$4:$AQ$51,3,FALSE)&lt;&gt;"Soft",
   ROUNDUP(VLOOKUP(U$2,'Tubing calculator'!$A$4:$AD$51,27,FALSE)/500,0),
  0)</f>
        <v>3</v>
      </c>
      <c r="V126" s="207">
        <f>IF(VLOOKUP(V$2,'TIS Site Config'!$A$4:$AQ$51,3,FALSE)&lt;&gt;"Soft",
   ROUNDUP(VLOOKUP(V$2,'Tubing calculator'!$A$4:$AD$51,27,FALSE)/500,0),
  0)</f>
        <v>2</v>
      </c>
      <c r="W126" s="210">
        <f>IF(VLOOKUP(W$2,'TIS Site Config'!$A$4:$AQ$51,3,FALSE)&lt;&gt;"Soft",
   ROUNDUP(VLOOKUP(W$2,'Tubing calculator'!$A$4:$AD$51,27,FALSE)/500,0),
  0)</f>
        <v>4</v>
      </c>
      <c r="X126" s="206">
        <f>IF(VLOOKUP(X$2,'TIS Site Config'!$A$4:$AQ$51,3,FALSE)&lt;&gt;"Soft",
   ROUNDUP(VLOOKUP(X$2,'Tubing calculator'!$A$4:$AD$51,27,FALSE)/500,0),
  0)</f>
        <v>3</v>
      </c>
      <c r="Y126" s="207">
        <f>IF(VLOOKUP(Y$2,'TIS Site Config'!$A$4:$AQ$51,3,FALSE)&lt;&gt;"Soft",
   ROUNDUP(VLOOKUP(Y$2,'Tubing calculator'!$A$4:$AD$51,27,FALSE)/500,0),
  0)</f>
        <v>4</v>
      </c>
      <c r="Z126" s="133">
        <f>IF(VLOOKUP(Z$2,'TIS Site Config'!$A$4:$AQ$51,3,FALSE)&lt;&gt;"Soft",
   ROUNDUP(VLOOKUP(Z$2,'Tubing calculator'!$A$4:$AD$51,27,FALSE)/500,0),
  0)</f>
        <v>2</v>
      </c>
      <c r="AA126" s="206">
        <f>IF(VLOOKUP(AA$2,'TIS Site Config'!$A$4:$AQ$51,3,FALSE)&lt;&gt;"Soft",
   ROUNDUP(VLOOKUP(AA$2,'Tubing calculator'!$A$4:$AD$51,27,FALSE)/500,0),
  0)</f>
        <v>4</v>
      </c>
      <c r="AB126" s="207">
        <f>IF(VLOOKUP(AB$2,'TIS Site Config'!$A$4:$AQ$51,3,FALSE)&lt;&gt;"Soft",
   ROUNDUP(VLOOKUP(AB$2,'Tubing calculator'!$A$4:$AD$51,27,FALSE)/500,0),
  0)</f>
        <v>2</v>
      </c>
      <c r="AC126" s="206">
        <f>IF(VLOOKUP(AC$2,'TIS Site Config'!$A$4:$AQ$51,3,FALSE)&lt;&gt;"Soft",
   ROUNDUP(VLOOKUP(AC$2,'Tubing calculator'!$A$4:$AD$51,27,FALSE)/500,0),
  0)</f>
        <v>4</v>
      </c>
      <c r="AD126" s="208">
        <f>IF(VLOOKUP(AD$2,'TIS Site Config'!$A$4:$AQ$51,3,FALSE)&lt;&gt;"Soft",
   ROUNDUP(VLOOKUP(AD$2,'Tubing calculator'!$A$4:$AD$51,27,FALSE)/500,0),
  0)</f>
        <v>4</v>
      </c>
      <c r="AE126" s="208">
        <f>IF(VLOOKUP(AE$2,'TIS Site Config'!$A$4:$AQ$51,3,FALSE)&lt;&gt;"Soft",
   ROUNDUP(VLOOKUP(AE$2,'Tubing calculator'!$A$4:$AD$51,27,FALSE)/500,0),
  0)</f>
        <v>4</v>
      </c>
      <c r="AF126" s="209">
        <f>IF(VLOOKUP(AF$2,'TIS Site Config'!$A$4:$AQ$51,3,FALSE)&lt;&gt;"Soft",
   ROUNDUP(VLOOKUP(AF$2,'Tubing calculator'!$A$4:$AD$51,27,FALSE)/500,0),
  0)</f>
        <v>3</v>
      </c>
      <c r="AG126" s="206">
        <f>IF(VLOOKUP(AG$2,'TIS Site Config'!$A$4:$AQ$51,3,FALSE)&lt;&gt;"Soft",
   ROUNDUP(VLOOKUP(AG$2,'Tubing calculator'!$A$4:$AD$51,27,FALSE)/500,0),
  0)</f>
        <v>4</v>
      </c>
      <c r="AH126" s="207">
        <f>IF(VLOOKUP(AH$2,'TIS Site Config'!$A$4:$AQ$51,3,FALSE)&lt;&gt;"Soft",
   ROUNDUP(VLOOKUP(AH$2,'Tubing calculator'!$A$4:$AD$51,27,FALSE)/500,0),
  0)</f>
        <v>4</v>
      </c>
      <c r="AI126" s="133">
        <f>IF(VLOOKUP(AI$2,'TIS Site Config'!$A$4:$AQ$51,3,FALSE)&lt;&gt;"Soft",
   ROUNDUP(VLOOKUP(AI$2,'Tubing calculator'!$A$4:$AD$51,27,FALSE)/500,0),
  0)</f>
        <v>2</v>
      </c>
      <c r="AJ126" s="206">
        <f>IF(VLOOKUP(AJ$2,'TIS Site Config'!$A$4:$AQ$51,3,FALSE)&lt;&gt;"Soft",
   ROUNDUP(VLOOKUP(AJ$2,'Tubing calculator'!$A$4:$AD$51,27,FALSE)/500,0),
  0)</f>
        <v>2</v>
      </c>
      <c r="AK126" s="207">
        <f>IF(VLOOKUP(AK$2,'TIS Site Config'!$A$4:$AQ$51,3,FALSE)&lt;&gt;"Soft",
   ROUNDUP(VLOOKUP(AK$2,'Tubing calculator'!$A$4:$AD$51,27,FALSE)/500,0),
  0)</f>
        <v>2</v>
      </c>
      <c r="AL126" s="133">
        <f>IF(VLOOKUP(AL$2,'TIS Site Config'!$A$4:$AQ$51,3,FALSE)&lt;&gt;"Soft",
   ROUNDUP(VLOOKUP(AL$2,'Tubing calculator'!$A$4:$AD$51,27,FALSE)/500,0),
  0)</f>
        <v>2</v>
      </c>
      <c r="AM126" s="206">
        <f>IF(VLOOKUP(AM$2,'TIS Site Config'!$A$4:$AQ$51,3,FALSE)&lt;&gt;"Soft",
   ROUNDUP(VLOOKUP(AM$2,'Tubing calculator'!$A$4:$AD$51,27,FALSE)/500,0),
  0)</f>
        <v>2</v>
      </c>
      <c r="AN126" s="207">
        <f>IF(VLOOKUP(AN$2,'TIS Site Config'!$A$4:$AQ$51,3,FALSE)&lt;&gt;"Soft",
   ROUNDUP(VLOOKUP(AN$2,'Tubing calculator'!$A$4:$AD$51,27,FALSE)/500,0),
  0)</f>
        <v>3</v>
      </c>
      <c r="AO126" s="133">
        <f>IF(VLOOKUP(AO$2,'TIS Site Config'!$A$4:$AQ$51,3,FALSE)&lt;&gt;"Soft",
   ROUNDUP(VLOOKUP(AO$2,'Tubing calculator'!$A$4:$AD$51,27,FALSE)/500,0),
  0)</f>
        <v>3</v>
      </c>
      <c r="AP126" s="206">
        <f>IF(VLOOKUP(AP$2,'TIS Site Config'!$A$4:$AQ$51,3,FALSE)&lt;&gt;"Soft",
   ROUNDUP(VLOOKUP(AP$2,'Tubing calculator'!$A$4:$AD$51,27,FALSE)/500,0),
  0)</f>
        <v>2</v>
      </c>
      <c r="AQ126" s="133">
        <f>IF(VLOOKUP(AQ$2,'TIS Site Config'!$A$4:$AQ$51,3,FALSE)&lt;&gt;"Soft",
   ROUNDUP(VLOOKUP(AQ$2,'Tubing calculator'!$A$4:$AD$51,27,FALSE)/500,0),
  0)</f>
        <v>3</v>
      </c>
      <c r="AR126" s="133">
        <f>IF(VLOOKUP(AR$2,'TIS Site Config'!$A$4:$AQ$51,3,FALSE)&lt;&gt;"Soft",
   ROUNDUP(VLOOKUP(AR$2,'Tubing calculator'!$A$4:$AD$51,27,FALSE)/500,0),
  0)</f>
        <v>2</v>
      </c>
      <c r="AS126" s="206">
        <f>IF(VLOOKUP(AS$2,'TIS Site Config'!$A$4:$AQ$51,3,FALSE)&lt;&gt;"Soft",
   ROUNDUP(VLOOKUP(AS$2,'Tubing calculator'!$A$4:$AD$51,27,FALSE)/500,0),
  0)</f>
        <v>2</v>
      </c>
      <c r="AT126" s="133">
        <f>IF(VLOOKUP(AT$2,'TIS Site Config'!$A$4:$AQ$51,3,FALSE)&lt;&gt;"Soft",
   ROUNDUP(VLOOKUP(AT$2,'Tubing calculator'!$A$4:$AD$51,27,FALSE)/500,0),
  0)</f>
        <v>2</v>
      </c>
      <c r="AU126" s="206">
        <f>IF(VLOOKUP(AU$2,'TIS Site Config'!$A$4:$AQ$51,3,FALSE)&lt;&gt;"Soft",
   ROUNDUP(VLOOKUP(AU$2,'Tubing calculator'!$A$4:$AD$51,27,FALSE)/500,0),
  0)</f>
        <v>2</v>
      </c>
      <c r="AV126" s="133">
        <f>IF(VLOOKUP(AV$2,'TIS Site Config'!$A$4:$AQ$51,3,FALSE)&lt;&gt;"Soft",
   ROUNDUP(VLOOKUP(AV$2,'Tubing calculator'!$A$4:$AD$51,27,FALSE)/500,0),
  0)</f>
        <v>2</v>
      </c>
      <c r="AW126" s="133">
        <f>IF(VLOOKUP(AW$2,'TIS Site Config'!$A$4:$AQ$51,3,FALSE)&lt;&gt;"Soft",
   ROUNDUP(VLOOKUP(AW$2,'Tubing calculator'!$A$4:$AD$51,27,FALSE)/500,0),
  0)</f>
        <v>6</v>
      </c>
      <c r="AX126" s="207">
        <f>IF(VLOOKUP(AX$2,'TIS Site Config'!$A$4:$AQ$51,3,FALSE)&lt;&gt;"Soft",
   ROUNDUP(VLOOKUP(AX$2,'Tubing calculator'!$A$4:$AD$51,27,FALSE)/500,0),
  0)</f>
        <v>3</v>
      </c>
      <c r="AY126" s="133">
        <f>IF(VLOOKUP(AY$2,'TIS Site Config'!$A$4:$AQ$51,3,FALSE)&lt;&gt;"Soft",
   ROUNDUP(VLOOKUP(AY$2,'Tubing calculator'!$A$4:$AD$51,27,FALSE)/500,0),
  0)</f>
        <v>4</v>
      </c>
      <c r="AZ126" s="206">
        <f>IF(VLOOKUP(AZ$2,'TIS Site Config'!$A$4:$AQ$51,3,FALSE)&lt;&gt;"Soft",
   ROUNDUP(VLOOKUP(AZ$2,'Tubing calculator'!$A$4:$AD$51,27,FALSE)/500,0),
  0)</f>
        <v>4</v>
      </c>
      <c r="BA126" s="208">
        <f>IF(VLOOKUP(BA$2,'TIS Site Config'!$A$4:$AQ$51,3,FALSE)&lt;&gt;"Soft",
   ROUNDUP(VLOOKUP(BA$2,'Tubing calculator'!$A$4:$AD$51,27,FALSE)/500,0),
  0)</f>
        <v>5</v>
      </c>
      <c r="BB126" s="133">
        <f>IF(VLOOKUP(BB$2,'TIS Site Config'!$A$4:$AQ$51,3,FALSE)&lt;&gt;"Soft",
   ROUNDUP(VLOOKUP(BB$2,'Tubing calculator'!$A$4:$AD$51,27,FALSE)/500,0),
  0)</f>
        <v>2</v>
      </c>
      <c r="BC126" s="207">
        <f>IF(VLOOKUP(BC$2,'TIS Site Config'!$A$4:$AQ$51,3,FALSE)&lt;&gt;"Soft",
   ROUNDUP(VLOOKUP(BC$2,'Tubing calculator'!$A$4:$AD$51,27,FALSE)/500,0),
  0)</f>
        <v>2</v>
      </c>
      <c r="BD126" s="133">
        <f>IF(VLOOKUP(BD$2,'TIS Site Config'!$A$4:$AQ$51,3,FALSE)&lt;&gt;"Soft",
   ROUNDUP(VLOOKUP(BD$2,'Tubing calculator'!$A$4:$AD$51,27,FALSE)/500,0),
  0)</f>
        <v>3</v>
      </c>
      <c r="BE126" s="206">
        <f>IF(VLOOKUP(BE$2,'TIS Site Config'!$A$4:$AQ$51,3,FALSE)&lt;&gt;"Soft",
   ROUNDUP(VLOOKUP(BE$2,'Tubing calculator'!$A$4:$AD$51,27,FALSE)/500,0),
  0)</f>
        <v>3</v>
      </c>
      <c r="BF126" s="207">
        <f>IF(VLOOKUP(BF$2,'TIS Site Config'!$A$4:$AQ$51,3,FALSE)&lt;&gt;"Soft",
   ROUNDUP(VLOOKUP(BF$2,'Tubing calculator'!$A$4:$AD$51,27,FALSE)/500,0),
  0)</f>
        <v>2</v>
      </c>
      <c r="BG126" s="58">
        <f>IF(VLOOKUP(BG$2,'TIS Site Config'!$A$4:$AQ$51,3,FALSE)&lt;&gt;"Soft",
   ROUNDUP(VLOOKUP(BG$2,'Tubing calculator'!$A$4:$AD$51,27,FALSE)/500,0),
  0)</f>
        <v>4</v>
      </c>
      <c r="BH126" s="58">
        <f>IF(VLOOKUP(BH$2,'TIS Site Config'!$A$4:$AQ$51,3,FALSE)&lt;&gt;"Soft",
   ROUNDUP(VLOOKUP(BH$2,'Tubing calculator'!$A$4:$AD$51,27,FALSE)/500,0),
  0)</f>
        <v>0</v>
      </c>
      <c r="BK126" s="10">
        <v>162</v>
      </c>
      <c r="BL126" s="950" t="b">
        <f t="shared" si="9"/>
        <v>0</v>
      </c>
      <c r="BO126" s="950"/>
    </row>
    <row r="127" spans="1:67" s="44" customFormat="1" ht="16.5" thickTop="1" thickBot="1" x14ac:dyDescent="0.3">
      <c r="A127" s="1366"/>
      <c r="B127" s="1140" t="s">
        <v>437</v>
      </c>
      <c r="C127" s="72" t="s">
        <v>381</v>
      </c>
      <c r="D127" s="95">
        <v>3</v>
      </c>
      <c r="E127" s="111" t="s">
        <v>403</v>
      </c>
      <c r="F127" s="65">
        <f t="shared" si="11"/>
        <v>37</v>
      </c>
      <c r="G127" s="447"/>
      <c r="H127" s="448"/>
      <c r="I127" s="448">
        <v>1</v>
      </c>
      <c r="J127" s="448"/>
      <c r="K127" s="449"/>
      <c r="L127" s="490"/>
      <c r="M127" s="139">
        <f>IF(
          AND(LEFT(VLOOKUP(M$2,'TIS Site Config'!$A$3:$AQ$51,33,FALSE),1)="Y"),
                              1,0)</f>
        <v>1</v>
      </c>
      <c r="N127" s="240">
        <f>IF(
          AND(LEFT(VLOOKUP(N$2,'TIS Site Config'!$A$3:$AQ$51,33,FALSE),1)="Y"),
                              1,0)</f>
        <v>1</v>
      </c>
      <c r="O127" s="244">
        <f>IF(
          AND(LEFT(VLOOKUP(O$2,'TIS Site Config'!$A$3:$AQ$51,33,FALSE),1)="Y"),
                              1,0)</f>
        <v>1</v>
      </c>
      <c r="P127" s="239">
        <f>IF(
          AND(LEFT(VLOOKUP(P$2,'TIS Site Config'!$A$3:$AQ$51,33,FALSE),1)="Y"),
                              1,0)</f>
        <v>1</v>
      </c>
      <c r="Q127" s="240">
        <f>IF(
          AND(LEFT(VLOOKUP(Q$2,'TIS Site Config'!$A$3:$AQ$51,33,FALSE),1)="Y"),
                              1,0)</f>
        <v>1</v>
      </c>
      <c r="R127" s="139">
        <f>IF(
          AND(LEFT(VLOOKUP(R$2,'TIS Site Config'!$A$3:$AQ$51,33,FALSE),1)="Y"),
                              1,0)</f>
        <v>1</v>
      </c>
      <c r="S127" s="239">
        <f>IF(
          AND(LEFT(VLOOKUP(S$2,'TIS Site Config'!$A$3:$AQ$51,33,FALSE),1)="Y"),
                              1,0)</f>
        <v>0</v>
      </c>
      <c r="T127" s="240">
        <f>IF(
          AND(LEFT(VLOOKUP(T$2,'TIS Site Config'!$A$3:$AQ$51,33,FALSE),1)="Y"),
                              1,0)</f>
        <v>1</v>
      </c>
      <c r="U127" s="139">
        <f>IF(
          AND(LEFT(VLOOKUP(U$2,'TIS Site Config'!$A$3:$AQ$51,33,FALSE),1)="Y"),
                              1,0)</f>
        <v>1</v>
      </c>
      <c r="V127" s="240">
        <f>IF(
          AND(LEFT(VLOOKUP(V$2,'TIS Site Config'!$A$3:$AQ$51,33,FALSE),1)="Y"),
                              1,0)</f>
        <v>0</v>
      </c>
      <c r="W127" s="243">
        <f>IF(
          AND(LEFT(VLOOKUP(W$2,'TIS Site Config'!$A$3:$AQ$51,33,FALSE),1)="Y"),
                              1,0)</f>
        <v>1</v>
      </c>
      <c r="X127" s="239">
        <f>IF(
          AND(LEFT(VLOOKUP(X$2,'TIS Site Config'!$A$3:$AQ$51,33,FALSE),1)="Y"),
                              1,0)</f>
        <v>1</v>
      </c>
      <c r="Y127" s="240">
        <f>IF(
          AND(LEFT(VLOOKUP(Y$2,'TIS Site Config'!$A$3:$AQ$51,33,FALSE),1)="Y"),
                              1,0)</f>
        <v>0</v>
      </c>
      <c r="Z127" s="139">
        <f>IF(
          AND(LEFT(VLOOKUP(Z$2,'TIS Site Config'!$A$3:$AQ$51,33,FALSE),1)="Y"),
                              1,0)</f>
        <v>1</v>
      </c>
      <c r="AA127" s="239">
        <f>IF(
          AND(LEFT(VLOOKUP(AA$2,'TIS Site Config'!$A$3:$AQ$51,33,FALSE),1)="Y"),
                              1,0)</f>
        <v>1</v>
      </c>
      <c r="AB127" s="240">
        <f>IF(
          AND(LEFT(VLOOKUP(AB$2,'TIS Site Config'!$A$3:$AQ$51,33,FALSE),1)="Y"),
                              1,0)</f>
        <v>0</v>
      </c>
      <c r="AC127" s="239">
        <f>IF(
          AND(LEFT(VLOOKUP(AC$2,'TIS Site Config'!$A$3:$AQ$51,33,FALSE),1)="Y"),
                              1,0)</f>
        <v>1</v>
      </c>
      <c r="AD127" s="241">
        <f>IF(
          AND(LEFT(VLOOKUP(AD$2,'TIS Site Config'!$A$3:$AQ$51,33,FALSE),1)="Y"),
                              1,0)</f>
        <v>1</v>
      </c>
      <c r="AE127" s="241">
        <f>IF(
          AND(LEFT(VLOOKUP(AE$2,'TIS Site Config'!$A$3:$AQ$51,33,FALSE),1)="Y"),
                              1,0)</f>
        <v>1</v>
      </c>
      <c r="AF127" s="242">
        <f>IF(
          AND(LEFT(VLOOKUP(AF$2,'TIS Site Config'!$A$3:$AQ$51,33,FALSE),1)="Y"),
                              1,0)</f>
        <v>1</v>
      </c>
      <c r="AG127" s="239">
        <f>IF(
          AND(LEFT(VLOOKUP(AG$2,'TIS Site Config'!$A$3:$AQ$51,33,FALSE),1)="Y"),
                              1,0)</f>
        <v>1</v>
      </c>
      <c r="AH127" s="240">
        <f>IF(
          AND(LEFT(VLOOKUP(AH$2,'TIS Site Config'!$A$3:$AQ$51,33,FALSE),1)="Y"),
                              1,0)</f>
        <v>1</v>
      </c>
      <c r="AI127" s="139">
        <f>IF(
          AND(LEFT(VLOOKUP(AI$2,'TIS Site Config'!$A$3:$AQ$51,33,FALSE),1)="Y"),
                              1,0)</f>
        <v>1</v>
      </c>
      <c r="AJ127" s="239">
        <f>IF(
          AND(LEFT(VLOOKUP(AJ$2,'TIS Site Config'!$A$3:$AQ$51,33,FALSE),1)="Y"),
                              1,0)</f>
        <v>0</v>
      </c>
      <c r="AK127" s="240">
        <f>IF(
          AND(LEFT(VLOOKUP(AK$2,'TIS Site Config'!$A$3:$AQ$51,33,FALSE),1)="Y"),
                              1,0)</f>
        <v>1</v>
      </c>
      <c r="AL127" s="1062">
        <f>IF(
          AND(LEFT(VLOOKUP(AL$2,'TIS Site Config'!$A$3:$AQ$51,33,FALSE),1)="Y"),
                              1,0)</f>
        <v>1</v>
      </c>
      <c r="AM127" s="239">
        <f>IF(
          AND(LEFT(VLOOKUP(AM$2,'TIS Site Config'!$A$3:$AQ$51,33,FALSE),1)="Y"),
                              1,0)</f>
        <v>1</v>
      </c>
      <c r="AN127" s="240">
        <f>IF(
          AND(LEFT(VLOOKUP(AN$2,'TIS Site Config'!$A$3:$AQ$51,33,FALSE),1)="Y"),
                              1,0)</f>
        <v>1</v>
      </c>
      <c r="AO127" s="139">
        <f>IF(
          AND(LEFT(VLOOKUP(AO$2,'TIS Site Config'!$A$3:$AQ$51,33,FALSE),1)="Y"),
                              1,0)</f>
        <v>1</v>
      </c>
      <c r="AP127" s="239">
        <f>IF(
          AND(LEFT(VLOOKUP(AP$2,'TIS Site Config'!$A$3:$AQ$51,33,FALSE),1)="Y"),
                              1,0)</f>
        <v>1</v>
      </c>
      <c r="AQ127" s="139">
        <f>IF(
          AND(LEFT(VLOOKUP(AQ$2,'TIS Site Config'!$A$3:$AQ$51,33,FALSE),1)="Y"),
                              1,0)</f>
        <v>1</v>
      </c>
      <c r="AR127" s="139">
        <f>IF(
          AND(LEFT(VLOOKUP(AR$2,'TIS Site Config'!$A$3:$AQ$51,33,FALSE),1)="Y"),
                              1,0)</f>
        <v>1</v>
      </c>
      <c r="AS127" s="239">
        <f>IF(
          AND(LEFT(VLOOKUP(AS$2,'TIS Site Config'!$A$3:$AQ$51,33,FALSE),1)="Y"),
                              1,0)</f>
        <v>1</v>
      </c>
      <c r="AT127" s="139">
        <f>IF(
          AND(LEFT(VLOOKUP(AT$2,'TIS Site Config'!$A$3:$AQ$51,33,FALSE),1)="Y"),
                              1,0)</f>
        <v>1</v>
      </c>
      <c r="AU127" s="239">
        <f>IF(
          AND(LEFT(VLOOKUP(AU$2,'TIS Site Config'!$A$3:$AQ$51,33,FALSE),1)="Y"),
                              1,0)</f>
        <v>0</v>
      </c>
      <c r="AV127" s="139">
        <f>IF(
          AND(LEFT(VLOOKUP(AV$2,'TIS Site Config'!$A$3:$AQ$51,33,FALSE),1)="Y"),
                              1,0)</f>
        <v>1</v>
      </c>
      <c r="AW127" s="139">
        <f>IF(
          AND(LEFT(VLOOKUP(AW$2,'TIS Site Config'!$A$3:$AQ$51,33,FALSE),1)="Y"),
                              1,0)</f>
        <v>1</v>
      </c>
      <c r="AX127" s="240">
        <f>IF(
          AND(LEFT(VLOOKUP(AX$2,'TIS Site Config'!$A$3:$AQ$51,33,FALSE),1)="Y"),
                              1,0)</f>
        <v>0</v>
      </c>
      <c r="AY127" s="139">
        <f>IF(
          AND(LEFT(VLOOKUP(AY$2,'TIS Site Config'!$A$3:$AQ$51,33,FALSE),1)="Y"),
                              1,0)</f>
        <v>1</v>
      </c>
      <c r="AZ127" s="239">
        <f>IF(
          AND(LEFT(VLOOKUP(AZ$2,'TIS Site Config'!$A$3:$AQ$51,33,FALSE),1)="Y"),
                              1,0)</f>
        <v>0</v>
      </c>
      <c r="BA127" s="241">
        <f>IF(
          AND(LEFT(VLOOKUP(BA$2,'TIS Site Config'!$A$3:$AQ$51,33,FALSE),1)="Y"),
                              1,0)</f>
        <v>0</v>
      </c>
      <c r="BB127" s="139">
        <f>IF(
          AND(LEFT(VLOOKUP(BB$2,'TIS Site Config'!$A$3:$AQ$51,33,FALSE),1)="Y"),
                              1,0)</f>
        <v>1</v>
      </c>
      <c r="BC127" s="240">
        <f>IF(
          AND(LEFT(VLOOKUP(BC$2,'TIS Site Config'!$A$3:$AQ$51,33,FALSE),1)="Y"),
                              1,0)</f>
        <v>1</v>
      </c>
      <c r="BD127" s="139">
        <f>IF(
          AND(LEFT(VLOOKUP(BD$2,'TIS Site Config'!$A$3:$AQ$51,33,FALSE),1)="Y"),
                              1,0)</f>
        <v>1</v>
      </c>
      <c r="BE127" s="239">
        <f>IF(
          AND(LEFT(VLOOKUP(BE$2,'TIS Site Config'!$A$3:$AQ$51,33,FALSE),1)="Y"),
                              1,0)</f>
        <v>0</v>
      </c>
      <c r="BF127" s="240">
        <f>IF(
          AND(LEFT(VLOOKUP(BF$2,'TIS Site Config'!$A$3:$AQ$51,33,FALSE),1)="Y"),
                              1,0)</f>
        <v>1</v>
      </c>
      <c r="BG127" s="65">
        <f>IF(
          AND(LEFT(VLOOKUP(BG$2,'TIS Site Config'!$A$3:$AQ$51,33,FALSE),1)="Y"),
                              1,0)</f>
        <v>1</v>
      </c>
      <c r="BH127" s="65">
        <f>IF(
          AND(LEFT(VLOOKUP(BH$2,'TIS Site Config'!$A$3:$AQ$51,33,FALSE),1)="Y"),
                              1,0)</f>
        <v>1</v>
      </c>
      <c r="BI127" s="44" t="s">
        <v>974</v>
      </c>
      <c r="BK127" s="44">
        <v>40</v>
      </c>
      <c r="BL127" s="950" t="b">
        <f t="shared" si="9"/>
        <v>0</v>
      </c>
      <c r="BO127" s="950"/>
    </row>
    <row r="128" spans="1:67" ht="30.75" thickBot="1" x14ac:dyDescent="0.3">
      <c r="A128" s="1379" t="s">
        <v>35</v>
      </c>
      <c r="B128" s="54" t="s">
        <v>8</v>
      </c>
      <c r="C128" s="76" t="s">
        <v>200</v>
      </c>
      <c r="D128" s="1029">
        <v>2</v>
      </c>
      <c r="E128" s="1030" t="s">
        <v>281</v>
      </c>
      <c r="F128" s="271">
        <f t="shared" si="11"/>
        <v>141</v>
      </c>
      <c r="G128" s="1031"/>
      <c r="H128" s="1032">
        <v>1</v>
      </c>
      <c r="I128" s="1032"/>
      <c r="J128" s="1032"/>
      <c r="K128" s="1033"/>
      <c r="L128" s="1034"/>
      <c r="M128" s="144">
        <f>3</f>
        <v>3</v>
      </c>
      <c r="N128" s="269">
        <f>3</f>
        <v>3</v>
      </c>
      <c r="O128" s="273">
        <f>3</f>
        <v>3</v>
      </c>
      <c r="P128" s="268">
        <f>3</f>
        <v>3</v>
      </c>
      <c r="Q128" s="269">
        <f>3</f>
        <v>3</v>
      </c>
      <c r="R128" s="144">
        <f>3</f>
        <v>3</v>
      </c>
      <c r="S128" s="268">
        <f>3</f>
        <v>3</v>
      </c>
      <c r="T128" s="269">
        <f>3</f>
        <v>3</v>
      </c>
      <c r="U128" s="144">
        <f>3</f>
        <v>3</v>
      </c>
      <c r="V128" s="269">
        <f>3</f>
        <v>3</v>
      </c>
      <c r="W128" s="272">
        <f>3</f>
        <v>3</v>
      </c>
      <c r="X128" s="268">
        <f>3</f>
        <v>3</v>
      </c>
      <c r="Y128" s="269">
        <f>3</f>
        <v>3</v>
      </c>
      <c r="Z128" s="144">
        <f>3</f>
        <v>3</v>
      </c>
      <c r="AA128" s="268">
        <f>3</f>
        <v>3</v>
      </c>
      <c r="AB128" s="269">
        <f>3</f>
        <v>3</v>
      </c>
      <c r="AC128" s="268">
        <f>3</f>
        <v>3</v>
      </c>
      <c r="AD128" s="270">
        <f>3</f>
        <v>3</v>
      </c>
      <c r="AE128" s="270">
        <f>3</f>
        <v>3</v>
      </c>
      <c r="AF128" s="1003">
        <f>3</f>
        <v>3</v>
      </c>
      <c r="AG128" s="268">
        <f>3</f>
        <v>3</v>
      </c>
      <c r="AH128" s="269">
        <f>3</f>
        <v>3</v>
      </c>
      <c r="AI128" s="144">
        <f>3</f>
        <v>3</v>
      </c>
      <c r="AJ128" s="268">
        <f>3</f>
        <v>3</v>
      </c>
      <c r="AK128" s="269">
        <f>3</f>
        <v>3</v>
      </c>
      <c r="AL128" s="144">
        <f>3</f>
        <v>3</v>
      </c>
      <c r="AM128" s="268">
        <f>3</f>
        <v>3</v>
      </c>
      <c r="AN128" s="269">
        <f>3</f>
        <v>3</v>
      </c>
      <c r="AO128" s="144">
        <f>3</f>
        <v>3</v>
      </c>
      <c r="AP128" s="268">
        <f>3</f>
        <v>3</v>
      </c>
      <c r="AQ128" s="144">
        <f>3</f>
        <v>3</v>
      </c>
      <c r="AR128" s="144">
        <f>3</f>
        <v>3</v>
      </c>
      <c r="AS128" s="268">
        <f>3</f>
        <v>3</v>
      </c>
      <c r="AT128" s="144">
        <f>3</f>
        <v>3</v>
      </c>
      <c r="AU128" s="268">
        <f>3</f>
        <v>3</v>
      </c>
      <c r="AV128" s="144">
        <f>3</f>
        <v>3</v>
      </c>
      <c r="AW128" s="144">
        <f>3</f>
        <v>3</v>
      </c>
      <c r="AX128" s="269">
        <f>3</f>
        <v>3</v>
      </c>
      <c r="AY128" s="144">
        <f>3</f>
        <v>3</v>
      </c>
      <c r="AZ128" s="268">
        <f>3</f>
        <v>3</v>
      </c>
      <c r="BA128" s="270">
        <f>3</f>
        <v>3</v>
      </c>
      <c r="BB128" s="144">
        <f>3</f>
        <v>3</v>
      </c>
      <c r="BC128" s="269">
        <f>3</f>
        <v>3</v>
      </c>
      <c r="BD128" s="144">
        <f>3</f>
        <v>3</v>
      </c>
      <c r="BE128" s="268">
        <f>3</f>
        <v>3</v>
      </c>
      <c r="BF128" s="269">
        <f>3</f>
        <v>3</v>
      </c>
      <c r="BG128" s="271">
        <f>3</f>
        <v>3</v>
      </c>
      <c r="BH128" s="271">
        <f>3</f>
        <v>3</v>
      </c>
      <c r="BI128" s="437" t="s">
        <v>965</v>
      </c>
      <c r="BK128" s="3">
        <v>180</v>
      </c>
      <c r="BL128" s="950" t="b">
        <f t="shared" si="9"/>
        <v>0</v>
      </c>
      <c r="BO128" s="950"/>
    </row>
    <row r="129" spans="1:67" ht="31.5" thickTop="1" thickBot="1" x14ac:dyDescent="0.3">
      <c r="A129" s="1380"/>
      <c r="B129" s="966" t="s">
        <v>458</v>
      </c>
      <c r="C129" s="67" t="s">
        <v>199</v>
      </c>
      <c r="D129" s="963">
        <v>2</v>
      </c>
      <c r="E129" s="110" t="s">
        <v>297</v>
      </c>
      <c r="F129" s="68">
        <f t="shared" si="11"/>
        <v>47</v>
      </c>
      <c r="G129" s="444"/>
      <c r="H129" s="445"/>
      <c r="I129" s="445"/>
      <c r="J129" s="445"/>
      <c r="K129" s="446"/>
      <c r="L129" s="489"/>
      <c r="M129" s="145">
        <f>1</f>
        <v>1</v>
      </c>
      <c r="N129" s="275">
        <f>1</f>
        <v>1</v>
      </c>
      <c r="O129" s="279">
        <f>1</f>
        <v>1</v>
      </c>
      <c r="P129" s="274">
        <f>1</f>
        <v>1</v>
      </c>
      <c r="Q129" s="275">
        <f>1</f>
        <v>1</v>
      </c>
      <c r="R129" s="145">
        <f>1</f>
        <v>1</v>
      </c>
      <c r="S129" s="274">
        <f>1</f>
        <v>1</v>
      </c>
      <c r="T129" s="275">
        <f>1</f>
        <v>1</v>
      </c>
      <c r="U129" s="145">
        <f>1</f>
        <v>1</v>
      </c>
      <c r="V129" s="275">
        <f>1</f>
        <v>1</v>
      </c>
      <c r="W129" s="278">
        <f>1</f>
        <v>1</v>
      </c>
      <c r="X129" s="274">
        <f>1</f>
        <v>1</v>
      </c>
      <c r="Y129" s="275">
        <f>1</f>
        <v>1</v>
      </c>
      <c r="Z129" s="145">
        <f>1</f>
        <v>1</v>
      </c>
      <c r="AA129" s="274">
        <f>1</f>
        <v>1</v>
      </c>
      <c r="AB129" s="275">
        <f>1</f>
        <v>1</v>
      </c>
      <c r="AC129" s="274">
        <f>1</f>
        <v>1</v>
      </c>
      <c r="AD129" s="276">
        <f>1</f>
        <v>1</v>
      </c>
      <c r="AE129" s="276">
        <f>1</f>
        <v>1</v>
      </c>
      <c r="AF129" s="1004">
        <f>1</f>
        <v>1</v>
      </c>
      <c r="AG129" s="274">
        <f>1</f>
        <v>1</v>
      </c>
      <c r="AH129" s="275">
        <f>1</f>
        <v>1</v>
      </c>
      <c r="AI129" s="145">
        <f>1</f>
        <v>1</v>
      </c>
      <c r="AJ129" s="274">
        <f>1</f>
        <v>1</v>
      </c>
      <c r="AK129" s="275">
        <f>1</f>
        <v>1</v>
      </c>
      <c r="AL129" s="145">
        <f>1</f>
        <v>1</v>
      </c>
      <c r="AM129" s="274">
        <f>1</f>
        <v>1</v>
      </c>
      <c r="AN129" s="275">
        <f>1</f>
        <v>1</v>
      </c>
      <c r="AO129" s="145">
        <f>1</f>
        <v>1</v>
      </c>
      <c r="AP129" s="274">
        <f>1</f>
        <v>1</v>
      </c>
      <c r="AQ129" s="145">
        <f>1</f>
        <v>1</v>
      </c>
      <c r="AR129" s="145">
        <f>1</f>
        <v>1</v>
      </c>
      <c r="AS129" s="274">
        <f>1</f>
        <v>1</v>
      </c>
      <c r="AT129" s="145">
        <f>1</f>
        <v>1</v>
      </c>
      <c r="AU129" s="274">
        <f>1</f>
        <v>1</v>
      </c>
      <c r="AV129" s="145">
        <f>1</f>
        <v>1</v>
      </c>
      <c r="AW129" s="145">
        <f>1</f>
        <v>1</v>
      </c>
      <c r="AX129" s="275">
        <f>1</f>
        <v>1</v>
      </c>
      <c r="AY129" s="145">
        <f>1</f>
        <v>1</v>
      </c>
      <c r="AZ129" s="274">
        <f>1</f>
        <v>1</v>
      </c>
      <c r="BA129" s="276">
        <f>1</f>
        <v>1</v>
      </c>
      <c r="BB129" s="145">
        <f>1</f>
        <v>1</v>
      </c>
      <c r="BC129" s="275">
        <f>1</f>
        <v>1</v>
      </c>
      <c r="BD129" s="145">
        <f>1</f>
        <v>1</v>
      </c>
      <c r="BE129" s="274">
        <f>1</f>
        <v>1</v>
      </c>
      <c r="BF129" s="275">
        <f>1</f>
        <v>1</v>
      </c>
      <c r="BG129" s="277">
        <f>1</f>
        <v>1</v>
      </c>
      <c r="BH129" s="277">
        <f>1</f>
        <v>1</v>
      </c>
      <c r="BI129" s="437" t="s">
        <v>965</v>
      </c>
      <c r="BK129" s="3">
        <v>60</v>
      </c>
      <c r="BL129" s="950" t="b">
        <f t="shared" si="9"/>
        <v>0</v>
      </c>
      <c r="BO129" s="950"/>
    </row>
    <row r="130" spans="1:67" ht="31.5" thickTop="1" thickBot="1" x14ac:dyDescent="0.3">
      <c r="A130" s="1380"/>
      <c r="B130" s="966" t="s">
        <v>459</v>
      </c>
      <c r="C130" s="67" t="s">
        <v>198</v>
      </c>
      <c r="D130" s="92">
        <v>2</v>
      </c>
      <c r="E130" s="110" t="s">
        <v>298</v>
      </c>
      <c r="F130" s="68">
        <f t="shared" si="11"/>
        <v>47</v>
      </c>
      <c r="G130" s="444"/>
      <c r="H130" s="445"/>
      <c r="I130" s="445"/>
      <c r="J130" s="445"/>
      <c r="K130" s="446"/>
      <c r="L130" s="489"/>
      <c r="M130" s="142">
        <f>1</f>
        <v>1</v>
      </c>
      <c r="N130" s="258">
        <f>1</f>
        <v>1</v>
      </c>
      <c r="O130" s="261">
        <f>1</f>
        <v>1</v>
      </c>
      <c r="P130" s="257">
        <f>1</f>
        <v>1</v>
      </c>
      <c r="Q130" s="258">
        <f>1</f>
        <v>1</v>
      </c>
      <c r="R130" s="142">
        <f>1</f>
        <v>1</v>
      </c>
      <c r="S130" s="257">
        <f>1</f>
        <v>1</v>
      </c>
      <c r="T130" s="258">
        <f>1</f>
        <v>1</v>
      </c>
      <c r="U130" s="142">
        <f>1</f>
        <v>1</v>
      </c>
      <c r="V130" s="258">
        <f>1</f>
        <v>1</v>
      </c>
      <c r="W130" s="260">
        <f>1</f>
        <v>1</v>
      </c>
      <c r="X130" s="257">
        <f>1</f>
        <v>1</v>
      </c>
      <c r="Y130" s="258">
        <f>1</f>
        <v>1</v>
      </c>
      <c r="Z130" s="142">
        <f>1</f>
        <v>1</v>
      </c>
      <c r="AA130" s="257">
        <f>1</f>
        <v>1</v>
      </c>
      <c r="AB130" s="258">
        <f>1</f>
        <v>1</v>
      </c>
      <c r="AC130" s="257">
        <f>1</f>
        <v>1</v>
      </c>
      <c r="AD130" s="259">
        <f>1</f>
        <v>1</v>
      </c>
      <c r="AE130" s="259">
        <f>1</f>
        <v>1</v>
      </c>
      <c r="AF130" s="1001">
        <f>1</f>
        <v>1</v>
      </c>
      <c r="AG130" s="257">
        <f>1</f>
        <v>1</v>
      </c>
      <c r="AH130" s="258">
        <f>1</f>
        <v>1</v>
      </c>
      <c r="AI130" s="142">
        <f>1</f>
        <v>1</v>
      </c>
      <c r="AJ130" s="257">
        <f>1</f>
        <v>1</v>
      </c>
      <c r="AK130" s="258">
        <f>1</f>
        <v>1</v>
      </c>
      <c r="AL130" s="142">
        <f>1</f>
        <v>1</v>
      </c>
      <c r="AM130" s="257">
        <f>1</f>
        <v>1</v>
      </c>
      <c r="AN130" s="258">
        <f>1</f>
        <v>1</v>
      </c>
      <c r="AO130" s="142">
        <f>1</f>
        <v>1</v>
      </c>
      <c r="AP130" s="257">
        <f>1</f>
        <v>1</v>
      </c>
      <c r="AQ130" s="142">
        <f>1</f>
        <v>1</v>
      </c>
      <c r="AR130" s="142">
        <f>1</f>
        <v>1</v>
      </c>
      <c r="AS130" s="257">
        <f>1</f>
        <v>1</v>
      </c>
      <c r="AT130" s="142">
        <f>1</f>
        <v>1</v>
      </c>
      <c r="AU130" s="257">
        <f>1</f>
        <v>1</v>
      </c>
      <c r="AV130" s="142">
        <f>1</f>
        <v>1</v>
      </c>
      <c r="AW130" s="142">
        <f>1</f>
        <v>1</v>
      </c>
      <c r="AX130" s="258">
        <f>1</f>
        <v>1</v>
      </c>
      <c r="AY130" s="142">
        <f>1</f>
        <v>1</v>
      </c>
      <c r="AZ130" s="257">
        <f>1</f>
        <v>1</v>
      </c>
      <c r="BA130" s="259">
        <f>1</f>
        <v>1</v>
      </c>
      <c r="BB130" s="142">
        <f>1</f>
        <v>1</v>
      </c>
      <c r="BC130" s="258">
        <f>1</f>
        <v>1</v>
      </c>
      <c r="BD130" s="142">
        <f>1</f>
        <v>1</v>
      </c>
      <c r="BE130" s="257">
        <f>1</f>
        <v>1</v>
      </c>
      <c r="BF130" s="258">
        <f>1</f>
        <v>1</v>
      </c>
      <c r="BG130" s="68">
        <f>1</f>
        <v>1</v>
      </c>
      <c r="BH130" s="68">
        <f>1</f>
        <v>1</v>
      </c>
      <c r="BI130" s="437" t="s">
        <v>965</v>
      </c>
      <c r="BK130" s="3">
        <v>60</v>
      </c>
      <c r="BL130" s="950" t="b">
        <f t="shared" si="9"/>
        <v>0</v>
      </c>
      <c r="BO130" s="950"/>
    </row>
    <row r="131" spans="1:67" ht="16.5" thickTop="1" thickBot="1" x14ac:dyDescent="0.3">
      <c r="A131" s="1380"/>
      <c r="B131" s="55" t="s">
        <v>348</v>
      </c>
      <c r="C131" s="71" t="s">
        <v>197</v>
      </c>
      <c r="D131" s="92">
        <v>2</v>
      </c>
      <c r="E131" s="110" t="s">
        <v>282</v>
      </c>
      <c r="F131" s="68">
        <f t="shared" si="11"/>
        <v>47</v>
      </c>
      <c r="G131" s="444"/>
      <c r="H131" s="445"/>
      <c r="I131" s="445">
        <v>1</v>
      </c>
      <c r="J131" s="445"/>
      <c r="K131" s="446"/>
      <c r="L131" s="489"/>
      <c r="M131" s="146">
        <f>1</f>
        <v>1</v>
      </c>
      <c r="N131" s="281">
        <f>1</f>
        <v>1</v>
      </c>
      <c r="O131" s="285">
        <f>1</f>
        <v>1</v>
      </c>
      <c r="P131" s="280">
        <f>1</f>
        <v>1</v>
      </c>
      <c r="Q131" s="281">
        <f>1</f>
        <v>1</v>
      </c>
      <c r="R131" s="146">
        <f>1</f>
        <v>1</v>
      </c>
      <c r="S131" s="280">
        <f>1</f>
        <v>1</v>
      </c>
      <c r="T131" s="281">
        <f>1</f>
        <v>1</v>
      </c>
      <c r="U131" s="146">
        <f>1</f>
        <v>1</v>
      </c>
      <c r="V131" s="281">
        <f>1</f>
        <v>1</v>
      </c>
      <c r="W131" s="284">
        <f>1</f>
        <v>1</v>
      </c>
      <c r="X131" s="280">
        <f>1</f>
        <v>1</v>
      </c>
      <c r="Y131" s="281">
        <f>1</f>
        <v>1</v>
      </c>
      <c r="Z131" s="146">
        <f>1</f>
        <v>1</v>
      </c>
      <c r="AA131" s="280">
        <f>1</f>
        <v>1</v>
      </c>
      <c r="AB131" s="281">
        <f>1</f>
        <v>1</v>
      </c>
      <c r="AC131" s="280">
        <f>1</f>
        <v>1</v>
      </c>
      <c r="AD131" s="282">
        <f>1</f>
        <v>1</v>
      </c>
      <c r="AE131" s="282">
        <f>1</f>
        <v>1</v>
      </c>
      <c r="AF131" s="1005">
        <f>1</f>
        <v>1</v>
      </c>
      <c r="AG131" s="280">
        <f>1</f>
        <v>1</v>
      </c>
      <c r="AH131" s="281">
        <f>1</f>
        <v>1</v>
      </c>
      <c r="AI131" s="146">
        <f>1</f>
        <v>1</v>
      </c>
      <c r="AJ131" s="280">
        <f>1</f>
        <v>1</v>
      </c>
      <c r="AK131" s="281">
        <f>1</f>
        <v>1</v>
      </c>
      <c r="AL131" s="146">
        <f>1</f>
        <v>1</v>
      </c>
      <c r="AM131" s="280">
        <f>1</f>
        <v>1</v>
      </c>
      <c r="AN131" s="281">
        <f>1</f>
        <v>1</v>
      </c>
      <c r="AO131" s="146">
        <f>1</f>
        <v>1</v>
      </c>
      <c r="AP131" s="280">
        <f>1</f>
        <v>1</v>
      </c>
      <c r="AQ131" s="146">
        <f>1</f>
        <v>1</v>
      </c>
      <c r="AR131" s="146">
        <f>1</f>
        <v>1</v>
      </c>
      <c r="AS131" s="280">
        <f>1</f>
        <v>1</v>
      </c>
      <c r="AT131" s="146">
        <f>1</f>
        <v>1</v>
      </c>
      <c r="AU131" s="280">
        <f>1</f>
        <v>1</v>
      </c>
      <c r="AV131" s="146">
        <f>1</f>
        <v>1</v>
      </c>
      <c r="AW131" s="146">
        <f>1</f>
        <v>1</v>
      </c>
      <c r="AX131" s="281">
        <f>1</f>
        <v>1</v>
      </c>
      <c r="AY131" s="146">
        <f>1</f>
        <v>1</v>
      </c>
      <c r="AZ131" s="280">
        <f>1</f>
        <v>1</v>
      </c>
      <c r="BA131" s="282">
        <f>1</f>
        <v>1</v>
      </c>
      <c r="BB131" s="146">
        <f>1</f>
        <v>1</v>
      </c>
      <c r="BC131" s="281">
        <f>1</f>
        <v>1</v>
      </c>
      <c r="BD131" s="146">
        <f>1</f>
        <v>1</v>
      </c>
      <c r="BE131" s="280">
        <f>1</f>
        <v>1</v>
      </c>
      <c r="BF131" s="281">
        <f>1</f>
        <v>1</v>
      </c>
      <c r="BG131" s="283">
        <f>1</f>
        <v>1</v>
      </c>
      <c r="BH131" s="283">
        <f>1</f>
        <v>1</v>
      </c>
      <c r="BI131" s="3" t="s">
        <v>965</v>
      </c>
      <c r="BK131" s="3">
        <v>60</v>
      </c>
      <c r="BL131" s="950" t="b">
        <f t="shared" si="9"/>
        <v>0</v>
      </c>
      <c r="BO131" s="950"/>
    </row>
    <row r="132" spans="1:67" ht="16.5" thickTop="1" thickBot="1" x14ac:dyDescent="0.3">
      <c r="A132" s="1380"/>
      <c r="B132" s="966" t="s">
        <v>436</v>
      </c>
      <c r="C132" s="67" t="s">
        <v>424</v>
      </c>
      <c r="D132" s="92">
        <v>3</v>
      </c>
      <c r="E132" s="110" t="s">
        <v>461</v>
      </c>
      <c r="F132" s="68">
        <f t="shared" si="11"/>
        <v>141</v>
      </c>
      <c r="G132" s="444"/>
      <c r="H132" s="445">
        <v>1</v>
      </c>
      <c r="I132" s="445"/>
      <c r="J132" s="445"/>
      <c r="K132" s="446"/>
      <c r="L132" s="489"/>
      <c r="M132" s="142">
        <f>3</f>
        <v>3</v>
      </c>
      <c r="N132" s="258">
        <f>3</f>
        <v>3</v>
      </c>
      <c r="O132" s="261">
        <f>3</f>
        <v>3</v>
      </c>
      <c r="P132" s="257">
        <f>3</f>
        <v>3</v>
      </c>
      <c r="Q132" s="258">
        <f>3</f>
        <v>3</v>
      </c>
      <c r="R132" s="142">
        <f>3</f>
        <v>3</v>
      </c>
      <c r="S132" s="257">
        <f>3</f>
        <v>3</v>
      </c>
      <c r="T132" s="258">
        <f>3</f>
        <v>3</v>
      </c>
      <c r="U132" s="142">
        <f>3</f>
        <v>3</v>
      </c>
      <c r="V132" s="258">
        <f>3</f>
        <v>3</v>
      </c>
      <c r="W132" s="260">
        <f>3</f>
        <v>3</v>
      </c>
      <c r="X132" s="257">
        <f>3</f>
        <v>3</v>
      </c>
      <c r="Y132" s="258">
        <f>3</f>
        <v>3</v>
      </c>
      <c r="Z132" s="142">
        <f>3</f>
        <v>3</v>
      </c>
      <c r="AA132" s="257">
        <f>3</f>
        <v>3</v>
      </c>
      <c r="AB132" s="258">
        <f>3</f>
        <v>3</v>
      </c>
      <c r="AC132" s="257">
        <f>3</f>
        <v>3</v>
      </c>
      <c r="AD132" s="259">
        <f>3</f>
        <v>3</v>
      </c>
      <c r="AE132" s="259">
        <f>3</f>
        <v>3</v>
      </c>
      <c r="AF132" s="1001">
        <f>3</f>
        <v>3</v>
      </c>
      <c r="AG132" s="257">
        <f>3</f>
        <v>3</v>
      </c>
      <c r="AH132" s="258">
        <f>3</f>
        <v>3</v>
      </c>
      <c r="AI132" s="142">
        <f>3</f>
        <v>3</v>
      </c>
      <c r="AJ132" s="257">
        <f>3</f>
        <v>3</v>
      </c>
      <c r="AK132" s="258">
        <f>3</f>
        <v>3</v>
      </c>
      <c r="AL132" s="142">
        <f>3</f>
        <v>3</v>
      </c>
      <c r="AM132" s="257">
        <f>3</f>
        <v>3</v>
      </c>
      <c r="AN132" s="258">
        <f>3</f>
        <v>3</v>
      </c>
      <c r="AO132" s="142">
        <f>3</f>
        <v>3</v>
      </c>
      <c r="AP132" s="257">
        <f>3</f>
        <v>3</v>
      </c>
      <c r="AQ132" s="142">
        <f>3</f>
        <v>3</v>
      </c>
      <c r="AR132" s="142">
        <f>3</f>
        <v>3</v>
      </c>
      <c r="AS132" s="257">
        <f>3</f>
        <v>3</v>
      </c>
      <c r="AT132" s="142">
        <f>3</f>
        <v>3</v>
      </c>
      <c r="AU132" s="257">
        <f>3</f>
        <v>3</v>
      </c>
      <c r="AV132" s="142">
        <f>3</f>
        <v>3</v>
      </c>
      <c r="AW132" s="142">
        <f>3</f>
        <v>3</v>
      </c>
      <c r="AX132" s="258">
        <f>3</f>
        <v>3</v>
      </c>
      <c r="AY132" s="142">
        <f>3</f>
        <v>3</v>
      </c>
      <c r="AZ132" s="257">
        <f>3</f>
        <v>3</v>
      </c>
      <c r="BA132" s="259">
        <f>3</f>
        <v>3</v>
      </c>
      <c r="BB132" s="142">
        <f>3</f>
        <v>3</v>
      </c>
      <c r="BC132" s="258">
        <f>3</f>
        <v>3</v>
      </c>
      <c r="BD132" s="142">
        <f>3</f>
        <v>3</v>
      </c>
      <c r="BE132" s="257">
        <f>3</f>
        <v>3</v>
      </c>
      <c r="BF132" s="258">
        <f>3</f>
        <v>3</v>
      </c>
      <c r="BG132" s="68">
        <f>3</f>
        <v>3</v>
      </c>
      <c r="BH132" s="68">
        <f>3</f>
        <v>3</v>
      </c>
      <c r="BI132" s="3" t="s">
        <v>964</v>
      </c>
      <c r="BK132" s="3">
        <v>180</v>
      </c>
      <c r="BL132" s="950" t="b">
        <f t="shared" si="9"/>
        <v>0</v>
      </c>
      <c r="BO132" s="950"/>
    </row>
    <row r="133" spans="1:67" ht="15.75" thickTop="1" x14ac:dyDescent="0.25">
      <c r="A133" s="1380"/>
      <c r="B133" s="1260" t="s">
        <v>455</v>
      </c>
      <c r="C133" s="72" t="s">
        <v>421</v>
      </c>
      <c r="D133" s="95">
        <v>3</v>
      </c>
      <c r="E133" s="111" t="s">
        <v>460</v>
      </c>
      <c r="F133" s="65">
        <f t="shared" si="11"/>
        <v>210</v>
      </c>
      <c r="G133" s="447"/>
      <c r="H133" s="448">
        <v>1</v>
      </c>
      <c r="I133" s="448"/>
      <c r="J133" s="448"/>
      <c r="K133" s="449"/>
      <c r="L133" s="490"/>
      <c r="M133" s="139">
        <f>IF(VLOOKUP(M$2,'TIS Site Config'!$A$4:$AT$51,45,FALSE)="No",5,0)</f>
        <v>5</v>
      </c>
      <c r="N133" s="240">
        <f>IF(VLOOKUP(N$2,'TIS Site Config'!$A$4:$AT$51,45,FALSE)="No",5,0)</f>
        <v>5</v>
      </c>
      <c r="O133" s="244">
        <f>IF(VLOOKUP(O$2,'TIS Site Config'!$A$4:$AT$51,45,FALSE)="No",5,0)</f>
        <v>5</v>
      </c>
      <c r="P133" s="239">
        <f>IF(VLOOKUP(P$2,'TIS Site Config'!$A$4:$AT$51,45,FALSE)="No",5,0)</f>
        <v>5</v>
      </c>
      <c r="Q133" s="240">
        <f>IF(VLOOKUP(Q$2,'TIS Site Config'!$A$4:$AT$51,45,FALSE)="No",5,0)</f>
        <v>5</v>
      </c>
      <c r="R133" s="139">
        <f>IF(VLOOKUP(R$2,'TIS Site Config'!$A$4:$AT$51,45,FALSE)="No",5,0)</f>
        <v>5</v>
      </c>
      <c r="S133" s="239">
        <f>IF(VLOOKUP(S$2,'TIS Site Config'!$A$4:$AT$51,45,FALSE)="No",5,0)</f>
        <v>5</v>
      </c>
      <c r="T133" s="240">
        <f>IF(VLOOKUP(T$2,'TIS Site Config'!$A$4:$AT$51,45,FALSE)="No",5,0)</f>
        <v>5</v>
      </c>
      <c r="U133" s="139">
        <f>IF(VLOOKUP(U$2,'TIS Site Config'!$A$4:$AT$51,45,FALSE)="No",5,0)</f>
        <v>5</v>
      </c>
      <c r="V133" s="240">
        <f>IF(VLOOKUP(V$2,'TIS Site Config'!$A$4:$AT$51,45,FALSE)="No",5,0)</f>
        <v>5</v>
      </c>
      <c r="W133" s="243">
        <f>IF(VLOOKUP(W$2,'TIS Site Config'!$A$4:$AT$51,45,FALSE)="No",5,0)</f>
        <v>5</v>
      </c>
      <c r="X133" s="239">
        <f>IF(VLOOKUP(X$2,'TIS Site Config'!$A$4:$AT$51,45,FALSE)="No",5,0)</f>
        <v>5</v>
      </c>
      <c r="Y133" s="240">
        <f>IF(VLOOKUP(Y$2,'TIS Site Config'!$A$4:$AT$51,45,FALSE)="No",5,0)</f>
        <v>5</v>
      </c>
      <c r="Z133" s="139">
        <f>IF(VLOOKUP(Z$2,'TIS Site Config'!$A$4:$AT$51,45,FALSE)="No",5,0)</f>
        <v>5</v>
      </c>
      <c r="AA133" s="239">
        <f>IF(VLOOKUP(AA$2,'TIS Site Config'!$A$4:$AT$51,45,FALSE)="No",5,0)</f>
        <v>5</v>
      </c>
      <c r="AB133" s="240">
        <f>IF(VLOOKUP(AB$2,'TIS Site Config'!$A$4:$AT$51,45,FALSE)="No",5,0)</f>
        <v>5</v>
      </c>
      <c r="AC133" s="239">
        <f>IF(VLOOKUP(AC$2,'TIS Site Config'!$A$4:$AT$51,45,FALSE)="No",5,0)</f>
        <v>5</v>
      </c>
      <c r="AD133" s="241">
        <f>IF(VLOOKUP(AD$2,'TIS Site Config'!$A$4:$AT$51,45,FALSE)="No",5,0)</f>
        <v>5</v>
      </c>
      <c r="AE133" s="241">
        <f>IF(VLOOKUP(AE$2,'TIS Site Config'!$A$4:$AT$51,45,FALSE)="No",5,0)</f>
        <v>5</v>
      </c>
      <c r="AF133" s="242">
        <f>IF(VLOOKUP(AF$2,'TIS Site Config'!$A$4:$AT$51,45,FALSE)="No",5,0)</f>
        <v>5</v>
      </c>
      <c r="AG133" s="239">
        <f>IF(VLOOKUP(AG$2,'TIS Site Config'!$A$4:$AT$51,45,FALSE)="No",5,0)</f>
        <v>5</v>
      </c>
      <c r="AH133" s="240">
        <f>IF(VLOOKUP(AH$2,'TIS Site Config'!$A$4:$AT$51,45,FALSE)="No",5,0)</f>
        <v>5</v>
      </c>
      <c r="AI133" s="139">
        <f>IF(VLOOKUP(AI$2,'TIS Site Config'!$A$4:$AT$51,45,FALSE)="No",5,0)</f>
        <v>5</v>
      </c>
      <c r="AJ133" s="239">
        <f>IF(VLOOKUP(AJ$2,'TIS Site Config'!$A$4:$AT$51,45,FALSE)="No",5,0)</f>
        <v>5</v>
      </c>
      <c r="AK133" s="240">
        <f>IF(VLOOKUP(AK$2,'TIS Site Config'!$A$4:$AT$51,45,FALSE)="No",5,0)</f>
        <v>5</v>
      </c>
      <c r="AL133" s="139">
        <f>IF(VLOOKUP(AL$2,'TIS Site Config'!$A$4:$AT$51,45,FALSE)="No",5,0)</f>
        <v>5</v>
      </c>
      <c r="AM133" s="239">
        <f>IF(VLOOKUP(AM$2,'TIS Site Config'!$A$4:$AT$51,45,FALSE)="No",5,0)</f>
        <v>5</v>
      </c>
      <c r="AN133" s="240">
        <f>IF(VLOOKUP(AN$2,'TIS Site Config'!$A$4:$AT$51,45,FALSE)="No",5,0)</f>
        <v>5</v>
      </c>
      <c r="AO133" s="139">
        <f>IF(VLOOKUP(AO$2,'TIS Site Config'!$A$4:$AT$51,45,FALSE)="No",5,0)</f>
        <v>5</v>
      </c>
      <c r="AP133" s="239">
        <f>IF(VLOOKUP(AP$2,'TIS Site Config'!$A$4:$AT$51,45,FALSE)="No",5,0)</f>
        <v>5</v>
      </c>
      <c r="AQ133" s="139">
        <f>IF(VLOOKUP(AQ$2,'TIS Site Config'!$A$4:$AT$51,45,FALSE)="No",5,0)</f>
        <v>5</v>
      </c>
      <c r="AR133" s="139">
        <f>IF(VLOOKUP(AR$2,'TIS Site Config'!$A$4:$AT$51,45,FALSE)="No",5,0)</f>
        <v>5</v>
      </c>
      <c r="AS133" s="239">
        <f>IF(VLOOKUP(AS$2,'TIS Site Config'!$A$4:$AT$51,45,FALSE)="No",5,0)</f>
        <v>5</v>
      </c>
      <c r="AT133" s="139">
        <f>IF(VLOOKUP(AT$2,'TIS Site Config'!$A$4:$AT$51,45,FALSE)="No",5,0)</f>
        <v>5</v>
      </c>
      <c r="AU133" s="239">
        <f>IF(VLOOKUP(AU$2,'TIS Site Config'!$A$4:$AT$51,45,FALSE)="No",5,0)</f>
        <v>5</v>
      </c>
      <c r="AV133" s="139">
        <f>IF(VLOOKUP(AV$2,'TIS Site Config'!$A$4:$AT$51,45,FALSE)="No",5,0)</f>
        <v>5</v>
      </c>
      <c r="AW133" s="139">
        <f>IF(VLOOKUP(AW$2,'TIS Site Config'!$A$4:$AT$51,45,FALSE)="No",5,0)</f>
        <v>5</v>
      </c>
      <c r="AX133" s="240">
        <f>IF(VLOOKUP(AX$2,'TIS Site Config'!$A$4:$AT$51,45,FALSE)="No",5,0)</f>
        <v>5</v>
      </c>
      <c r="AY133" s="139">
        <f>IF(VLOOKUP(AY$2,'TIS Site Config'!$A$4:$AT$51,45,FALSE)="No",5,0)</f>
        <v>5</v>
      </c>
      <c r="AZ133" s="239">
        <f>IF(VLOOKUP(AZ$2,'TIS Site Config'!$A$4:$AT$51,45,FALSE)="No",5,0)</f>
        <v>5</v>
      </c>
      <c r="BA133" s="241">
        <f>IF(VLOOKUP(BA$2,'TIS Site Config'!$A$4:$AT$51,45,FALSE)="No",5,0)</f>
        <v>5</v>
      </c>
      <c r="BB133" s="139">
        <f>IF(VLOOKUP(BB$2,'TIS Site Config'!$A$4:$AT$51,45,FALSE)="No",5,0)</f>
        <v>0</v>
      </c>
      <c r="BC133" s="240">
        <f>IF(VLOOKUP(BC$2,'TIS Site Config'!$A$4:$AT$51,45,FALSE)="No",5,0)</f>
        <v>0</v>
      </c>
      <c r="BD133" s="139">
        <f>IF(VLOOKUP(BD$2,'TIS Site Config'!$A$4:$AT$51,45,FALSE)="No",5,0)</f>
        <v>0</v>
      </c>
      <c r="BE133" s="239">
        <f>IF(VLOOKUP(BE$2,'TIS Site Config'!$A$4:$AT$51,45,FALSE)="No",5,0)</f>
        <v>0</v>
      </c>
      <c r="BF133" s="240">
        <f>IF(VLOOKUP(BF$2,'TIS Site Config'!$A$4:$AT$51,45,FALSE)="No",5,0)</f>
        <v>0</v>
      </c>
      <c r="BG133" s="65">
        <f>IF(VLOOKUP(BG$2,'TIS Site Config'!$A$4:$AT$51,45,FALSE)="No",5,0)</f>
        <v>5</v>
      </c>
      <c r="BH133" s="65">
        <f>IF(VLOOKUP(BH$2,'TIS Site Config'!$A$4:$AT$51,45,FALSE)="No",5,0)</f>
        <v>5</v>
      </c>
      <c r="BK133" s="3">
        <v>300</v>
      </c>
      <c r="BL133" s="950" t="b">
        <f t="shared" si="9"/>
        <v>0</v>
      </c>
      <c r="BO133" s="950"/>
    </row>
    <row r="134" spans="1:67" s="950" customFormat="1" ht="15.75" thickBot="1" x14ac:dyDescent="0.3">
      <c r="A134" s="1380"/>
      <c r="B134" s="1340"/>
      <c r="C134" s="57" t="s">
        <v>1091</v>
      </c>
      <c r="D134" s="90">
        <v>3</v>
      </c>
      <c r="E134" s="84" t="s">
        <v>1090</v>
      </c>
      <c r="F134" s="60">
        <f t="shared" si="11"/>
        <v>25</v>
      </c>
      <c r="G134" s="459"/>
      <c r="H134" s="460"/>
      <c r="I134" s="460"/>
      <c r="J134" s="460"/>
      <c r="K134" s="461"/>
      <c r="L134" s="494"/>
      <c r="M134" s="134">
        <f>IF(VLOOKUP(M$2,'TIS Site Config'!$A$4:$AT$51,45,FALSE)="Yes",5,0)</f>
        <v>0</v>
      </c>
      <c r="N134" s="212">
        <f>IF(VLOOKUP(N$2,'TIS Site Config'!$A$4:$AT$51,45,FALSE)="Yes",5,0)</f>
        <v>0</v>
      </c>
      <c r="O134" s="215">
        <f>IF(VLOOKUP(O$2,'TIS Site Config'!$A$4:$AT$51,45,FALSE)="Yes",5,0)</f>
        <v>0</v>
      </c>
      <c r="P134" s="309">
        <f>IF(VLOOKUP(P$2,'TIS Site Config'!$A$4:$AT$51,45,FALSE)="Yes",5,0)</f>
        <v>0</v>
      </c>
      <c r="Q134" s="212">
        <f>IF(VLOOKUP(Q$2,'TIS Site Config'!$A$4:$AT$51,45,FALSE)="Yes",5,0)</f>
        <v>0</v>
      </c>
      <c r="R134" s="134">
        <f>IF(VLOOKUP(R$2,'TIS Site Config'!$A$4:$AT$51,45,FALSE)="Yes",5,0)</f>
        <v>0</v>
      </c>
      <c r="S134" s="309">
        <f>IF(VLOOKUP(S$2,'TIS Site Config'!$A$4:$AT$51,45,FALSE)="Yes",5,0)</f>
        <v>0</v>
      </c>
      <c r="T134" s="212">
        <f>IF(VLOOKUP(T$2,'TIS Site Config'!$A$4:$AT$51,45,FALSE)="Yes",5,0)</f>
        <v>0</v>
      </c>
      <c r="U134" s="134">
        <f>IF(VLOOKUP(U$2,'TIS Site Config'!$A$4:$AT$51,45,FALSE)="Yes",5,0)</f>
        <v>0</v>
      </c>
      <c r="V134" s="212">
        <f>IF(VLOOKUP(V$2,'TIS Site Config'!$A$4:$AT$51,45,FALSE)="Yes",5,0)</f>
        <v>0</v>
      </c>
      <c r="W134" s="214">
        <f>IF(VLOOKUP(W$2,'TIS Site Config'!$A$4:$AT$51,45,FALSE)="Yes",5,0)</f>
        <v>0</v>
      </c>
      <c r="X134" s="309">
        <f>IF(VLOOKUP(X$2,'TIS Site Config'!$A$4:$AT$51,45,FALSE)="Yes",5,0)</f>
        <v>0</v>
      </c>
      <c r="Y134" s="212">
        <f>IF(VLOOKUP(Y$2,'TIS Site Config'!$A$4:$AT$51,45,FALSE)="Yes",5,0)</f>
        <v>0</v>
      </c>
      <c r="Z134" s="134">
        <f>IF(VLOOKUP(Z$2,'TIS Site Config'!$A$4:$AT$51,45,FALSE)="Yes",5,0)</f>
        <v>0</v>
      </c>
      <c r="AA134" s="309">
        <f>IF(VLOOKUP(AA$2,'TIS Site Config'!$A$4:$AT$51,45,FALSE)="Yes",5,0)</f>
        <v>0</v>
      </c>
      <c r="AB134" s="212">
        <f>IF(VLOOKUP(AB$2,'TIS Site Config'!$A$4:$AT$51,45,FALSE)="Yes",5,0)</f>
        <v>0</v>
      </c>
      <c r="AC134" s="309">
        <f>IF(VLOOKUP(AC$2,'TIS Site Config'!$A$4:$AT$51,45,FALSE)="Yes",5,0)</f>
        <v>0</v>
      </c>
      <c r="AD134" s="213">
        <f>IF(VLOOKUP(AD$2,'TIS Site Config'!$A$4:$AT$51,45,FALSE)="Yes",5,0)</f>
        <v>0</v>
      </c>
      <c r="AE134" s="213">
        <f>IF(VLOOKUP(AE$2,'TIS Site Config'!$A$4:$AT$51,45,FALSE)="Yes",5,0)</f>
        <v>0</v>
      </c>
      <c r="AF134" s="39">
        <f>IF(VLOOKUP(AF$2,'TIS Site Config'!$A$4:$AT$51,45,FALSE)="Yes",5,0)</f>
        <v>0</v>
      </c>
      <c r="AG134" s="309">
        <f>IF(VLOOKUP(AG$2,'TIS Site Config'!$A$4:$AT$51,45,FALSE)="Yes",5,0)</f>
        <v>0</v>
      </c>
      <c r="AH134" s="212">
        <f>IF(VLOOKUP(AH$2,'TIS Site Config'!$A$4:$AT$51,45,FALSE)="Yes",5,0)</f>
        <v>0</v>
      </c>
      <c r="AI134" s="134">
        <f>IF(VLOOKUP(AI$2,'TIS Site Config'!$A$4:$AT$51,45,FALSE)="Yes",5,0)</f>
        <v>0</v>
      </c>
      <c r="AJ134" s="309">
        <f>IF(VLOOKUP(AJ$2,'TIS Site Config'!$A$4:$AT$51,45,FALSE)="Yes",5,0)</f>
        <v>0</v>
      </c>
      <c r="AK134" s="212">
        <f>IF(VLOOKUP(AK$2,'TIS Site Config'!$A$4:$AT$51,45,FALSE)="Yes",5,0)</f>
        <v>0</v>
      </c>
      <c r="AL134" s="134">
        <f>IF(VLOOKUP(AL$2,'TIS Site Config'!$A$4:$AT$51,45,FALSE)="Yes",5,0)</f>
        <v>0</v>
      </c>
      <c r="AM134" s="309">
        <f>IF(VLOOKUP(AM$2,'TIS Site Config'!$A$4:$AT$51,45,FALSE)="Yes",5,0)</f>
        <v>0</v>
      </c>
      <c r="AN134" s="212">
        <f>IF(VLOOKUP(AN$2,'TIS Site Config'!$A$4:$AT$51,45,FALSE)="Yes",5,0)</f>
        <v>0</v>
      </c>
      <c r="AO134" s="134">
        <f>IF(VLOOKUP(AO$2,'TIS Site Config'!$A$4:$AT$51,45,FALSE)="Yes",5,0)</f>
        <v>0</v>
      </c>
      <c r="AP134" s="309">
        <f>IF(VLOOKUP(AP$2,'TIS Site Config'!$A$4:$AT$51,45,FALSE)="Yes",5,0)</f>
        <v>0</v>
      </c>
      <c r="AQ134" s="134">
        <f>IF(VLOOKUP(AQ$2,'TIS Site Config'!$A$4:$AT$51,45,FALSE)="Yes",5,0)</f>
        <v>0</v>
      </c>
      <c r="AR134" s="134">
        <f>IF(VLOOKUP(AR$2,'TIS Site Config'!$A$4:$AT$51,45,FALSE)="Yes",5,0)</f>
        <v>0</v>
      </c>
      <c r="AS134" s="309">
        <f>IF(VLOOKUP(AS$2,'TIS Site Config'!$A$4:$AT$51,45,FALSE)="Yes",5,0)</f>
        <v>0</v>
      </c>
      <c r="AT134" s="134">
        <f>IF(VLOOKUP(AT$2,'TIS Site Config'!$A$4:$AT$51,45,FALSE)="Yes",5,0)</f>
        <v>0</v>
      </c>
      <c r="AU134" s="309">
        <f>IF(VLOOKUP(AU$2,'TIS Site Config'!$A$4:$AT$51,45,FALSE)="Yes",5,0)</f>
        <v>0</v>
      </c>
      <c r="AV134" s="134">
        <f>IF(VLOOKUP(AV$2,'TIS Site Config'!$A$4:$AT$51,45,FALSE)="Yes",5,0)</f>
        <v>0</v>
      </c>
      <c r="AW134" s="134">
        <f>IF(VLOOKUP(AW$2,'TIS Site Config'!$A$4:$AT$51,45,FALSE)="Yes",5,0)</f>
        <v>0</v>
      </c>
      <c r="AX134" s="212">
        <f>IF(VLOOKUP(AX$2,'TIS Site Config'!$A$4:$AT$51,45,FALSE)="Yes",5,0)</f>
        <v>0</v>
      </c>
      <c r="AY134" s="134">
        <f>IF(VLOOKUP(AY$2,'TIS Site Config'!$A$4:$AT$51,45,FALSE)="Yes",5,0)</f>
        <v>0</v>
      </c>
      <c r="AZ134" s="309">
        <f>IF(VLOOKUP(AZ$2,'TIS Site Config'!$A$4:$AT$51,45,FALSE)="Yes",5,0)</f>
        <v>0</v>
      </c>
      <c r="BA134" s="213">
        <f>IF(VLOOKUP(BA$2,'TIS Site Config'!$A$4:$AT$51,45,FALSE)="Yes",5,0)</f>
        <v>0</v>
      </c>
      <c r="BB134" s="134">
        <f>IF(VLOOKUP(BB$2,'TIS Site Config'!$A$4:$AT$51,45,FALSE)="Yes",5,0)</f>
        <v>5</v>
      </c>
      <c r="BC134" s="212">
        <f>IF(VLOOKUP(BC$2,'TIS Site Config'!$A$4:$AT$51,45,FALSE)="Yes",5,0)</f>
        <v>5</v>
      </c>
      <c r="BD134" s="134">
        <f>IF(VLOOKUP(BD$2,'TIS Site Config'!$A$4:$AT$51,45,FALSE)="Yes",5,0)</f>
        <v>5</v>
      </c>
      <c r="BE134" s="309">
        <f>IF(VLOOKUP(BE$2,'TIS Site Config'!$A$4:$AT$51,45,FALSE)="Yes",5,0)</f>
        <v>5</v>
      </c>
      <c r="BF134" s="212">
        <f>IF(VLOOKUP(BF$2,'TIS Site Config'!$A$4:$AT$51,45,FALSE)="Yes",5,0)</f>
        <v>5</v>
      </c>
      <c r="BG134" s="60">
        <f>IF(VLOOKUP(BG$2,'TIS Site Config'!$A$4:$AT$51,45,FALSE)="Yes",5,0)</f>
        <v>0</v>
      </c>
      <c r="BH134" s="60">
        <f>IF(VLOOKUP(BH$2,'TIS Site Config'!$A$4:$AT$51,45,FALSE)="Yes",5,0)</f>
        <v>0</v>
      </c>
    </row>
    <row r="135" spans="1:67" ht="15.75" thickTop="1" x14ac:dyDescent="0.25">
      <c r="A135" s="1380"/>
      <c r="B135" s="1260" t="s">
        <v>456</v>
      </c>
      <c r="C135" s="72" t="s">
        <v>454</v>
      </c>
      <c r="D135" s="95">
        <v>3</v>
      </c>
      <c r="E135" s="111" t="s">
        <v>399</v>
      </c>
      <c r="F135" s="65">
        <f t="shared" si="11"/>
        <v>210</v>
      </c>
      <c r="G135" s="447"/>
      <c r="H135" s="448"/>
      <c r="I135" s="448">
        <v>2</v>
      </c>
      <c r="J135" s="448"/>
      <c r="K135" s="449"/>
      <c r="L135" s="490"/>
      <c r="M135" s="139">
        <f>IF(VLOOKUP(M$2,'TIS Site Config'!$A$4:$AT$51,45,FALSE)="No",5,0)</f>
        <v>5</v>
      </c>
      <c r="N135" s="240">
        <f>IF(VLOOKUP(N$2,'TIS Site Config'!$A$4:$AT$51,45,FALSE)="No",5,0)</f>
        <v>5</v>
      </c>
      <c r="O135" s="244">
        <f>IF(VLOOKUP(O$2,'TIS Site Config'!$A$4:$AT$51,45,FALSE)="No",5,0)</f>
        <v>5</v>
      </c>
      <c r="P135" s="239">
        <f>IF(VLOOKUP(P$2,'TIS Site Config'!$A$4:$AT$51,45,FALSE)="No",5,0)</f>
        <v>5</v>
      </c>
      <c r="Q135" s="240">
        <f>IF(VLOOKUP(Q$2,'TIS Site Config'!$A$4:$AT$51,45,FALSE)="No",5,0)</f>
        <v>5</v>
      </c>
      <c r="R135" s="139">
        <f>IF(VLOOKUP(R$2,'TIS Site Config'!$A$4:$AT$51,45,FALSE)="No",5,0)</f>
        <v>5</v>
      </c>
      <c r="S135" s="239">
        <f>IF(VLOOKUP(S$2,'TIS Site Config'!$A$4:$AT$51,45,FALSE)="No",5,0)</f>
        <v>5</v>
      </c>
      <c r="T135" s="240">
        <f>IF(VLOOKUP(T$2,'TIS Site Config'!$A$4:$AT$51,45,FALSE)="No",5,0)</f>
        <v>5</v>
      </c>
      <c r="U135" s="139">
        <f>IF(VLOOKUP(U$2,'TIS Site Config'!$A$4:$AT$51,45,FALSE)="No",5,0)</f>
        <v>5</v>
      </c>
      <c r="V135" s="240">
        <f>IF(VLOOKUP(V$2,'TIS Site Config'!$A$4:$AT$51,45,FALSE)="No",5,0)</f>
        <v>5</v>
      </c>
      <c r="W135" s="243">
        <f>IF(VLOOKUP(W$2,'TIS Site Config'!$A$4:$AT$51,45,FALSE)="No",5,0)</f>
        <v>5</v>
      </c>
      <c r="X135" s="239">
        <f>IF(VLOOKUP(X$2,'TIS Site Config'!$A$4:$AT$51,45,FALSE)="No",5,0)</f>
        <v>5</v>
      </c>
      <c r="Y135" s="240">
        <f>IF(VLOOKUP(Y$2,'TIS Site Config'!$A$4:$AT$51,45,FALSE)="No",5,0)</f>
        <v>5</v>
      </c>
      <c r="Z135" s="139">
        <f>IF(VLOOKUP(Z$2,'TIS Site Config'!$A$4:$AT$51,45,FALSE)="No",5,0)</f>
        <v>5</v>
      </c>
      <c r="AA135" s="239">
        <f>IF(VLOOKUP(AA$2,'TIS Site Config'!$A$4:$AT$51,45,FALSE)="No",5,0)</f>
        <v>5</v>
      </c>
      <c r="AB135" s="240">
        <f>IF(VLOOKUP(AB$2,'TIS Site Config'!$A$4:$AT$51,45,FALSE)="No",5,0)</f>
        <v>5</v>
      </c>
      <c r="AC135" s="239">
        <f>IF(VLOOKUP(AC$2,'TIS Site Config'!$A$4:$AT$51,45,FALSE)="No",5,0)</f>
        <v>5</v>
      </c>
      <c r="AD135" s="241">
        <f>IF(VLOOKUP(AD$2,'TIS Site Config'!$A$4:$AT$51,45,FALSE)="No",5,0)</f>
        <v>5</v>
      </c>
      <c r="AE135" s="241">
        <f>IF(VLOOKUP(AE$2,'TIS Site Config'!$A$4:$AT$51,45,FALSE)="No",5,0)</f>
        <v>5</v>
      </c>
      <c r="AF135" s="242">
        <f>IF(VLOOKUP(AF$2,'TIS Site Config'!$A$4:$AT$51,45,FALSE)="No",5,0)</f>
        <v>5</v>
      </c>
      <c r="AG135" s="239">
        <f>IF(VLOOKUP(AG$2,'TIS Site Config'!$A$4:$AT$51,45,FALSE)="No",5,0)</f>
        <v>5</v>
      </c>
      <c r="AH135" s="240">
        <f>IF(VLOOKUP(AH$2,'TIS Site Config'!$A$4:$AT$51,45,FALSE)="No",5,0)</f>
        <v>5</v>
      </c>
      <c r="AI135" s="139">
        <f>IF(VLOOKUP(AI$2,'TIS Site Config'!$A$4:$AT$51,45,FALSE)="No",5,0)</f>
        <v>5</v>
      </c>
      <c r="AJ135" s="239">
        <f>IF(VLOOKUP(AJ$2,'TIS Site Config'!$A$4:$AT$51,45,FALSE)="No",5,0)</f>
        <v>5</v>
      </c>
      <c r="AK135" s="240">
        <f>IF(VLOOKUP(AK$2,'TIS Site Config'!$A$4:$AT$51,45,FALSE)="No",5,0)</f>
        <v>5</v>
      </c>
      <c r="AL135" s="139">
        <f>IF(VLOOKUP(AL$2,'TIS Site Config'!$A$4:$AT$51,45,FALSE)="No",5,0)</f>
        <v>5</v>
      </c>
      <c r="AM135" s="239">
        <f>IF(VLOOKUP(AM$2,'TIS Site Config'!$A$4:$AT$51,45,FALSE)="No",5,0)</f>
        <v>5</v>
      </c>
      <c r="AN135" s="240">
        <f>IF(VLOOKUP(AN$2,'TIS Site Config'!$A$4:$AT$51,45,FALSE)="No",5,0)</f>
        <v>5</v>
      </c>
      <c r="AO135" s="139">
        <f>IF(VLOOKUP(AO$2,'TIS Site Config'!$A$4:$AT$51,45,FALSE)="No",5,0)</f>
        <v>5</v>
      </c>
      <c r="AP135" s="239">
        <f>IF(VLOOKUP(AP$2,'TIS Site Config'!$A$4:$AT$51,45,FALSE)="No",5,0)</f>
        <v>5</v>
      </c>
      <c r="AQ135" s="139">
        <f>IF(VLOOKUP(AQ$2,'TIS Site Config'!$A$4:$AT$51,45,FALSE)="No",5,0)</f>
        <v>5</v>
      </c>
      <c r="AR135" s="139">
        <f>IF(VLOOKUP(AR$2,'TIS Site Config'!$A$4:$AT$51,45,FALSE)="No",5,0)</f>
        <v>5</v>
      </c>
      <c r="AS135" s="239">
        <f>IF(VLOOKUP(AS$2,'TIS Site Config'!$A$4:$AT$51,45,FALSE)="No",5,0)</f>
        <v>5</v>
      </c>
      <c r="AT135" s="139">
        <f>IF(VLOOKUP(AT$2,'TIS Site Config'!$A$4:$AT$51,45,FALSE)="No",5,0)</f>
        <v>5</v>
      </c>
      <c r="AU135" s="239">
        <f>IF(VLOOKUP(AU$2,'TIS Site Config'!$A$4:$AT$51,45,FALSE)="No",5,0)</f>
        <v>5</v>
      </c>
      <c r="AV135" s="139">
        <f>IF(VLOOKUP(AV$2,'TIS Site Config'!$A$4:$AT$51,45,FALSE)="No",5,0)</f>
        <v>5</v>
      </c>
      <c r="AW135" s="139">
        <f>IF(VLOOKUP(AW$2,'TIS Site Config'!$A$4:$AT$51,45,FALSE)="No",5,0)</f>
        <v>5</v>
      </c>
      <c r="AX135" s="240">
        <f>IF(VLOOKUP(AX$2,'TIS Site Config'!$A$4:$AT$51,45,FALSE)="No",5,0)</f>
        <v>5</v>
      </c>
      <c r="AY135" s="139">
        <f>IF(VLOOKUP(AY$2,'TIS Site Config'!$A$4:$AT$51,45,FALSE)="No",5,0)</f>
        <v>5</v>
      </c>
      <c r="AZ135" s="239">
        <f>IF(VLOOKUP(AZ$2,'TIS Site Config'!$A$4:$AT$51,45,FALSE)="No",5,0)</f>
        <v>5</v>
      </c>
      <c r="BA135" s="241">
        <f>IF(VLOOKUP(BA$2,'TIS Site Config'!$A$4:$AT$51,45,FALSE)="No",5,0)</f>
        <v>5</v>
      </c>
      <c r="BB135" s="139">
        <f>IF(VLOOKUP(BB$2,'TIS Site Config'!$A$4:$AT$51,45,FALSE)="No",5,0)</f>
        <v>0</v>
      </c>
      <c r="BC135" s="240">
        <f>IF(VLOOKUP(BC$2,'TIS Site Config'!$A$4:$AT$51,45,FALSE)="No",5,0)</f>
        <v>0</v>
      </c>
      <c r="BD135" s="139">
        <f>IF(VLOOKUP(BD$2,'TIS Site Config'!$A$4:$AT$51,45,FALSE)="No",5,0)</f>
        <v>0</v>
      </c>
      <c r="BE135" s="239">
        <f>IF(VLOOKUP(BE$2,'TIS Site Config'!$A$4:$AT$51,45,FALSE)="No",5,0)</f>
        <v>0</v>
      </c>
      <c r="BF135" s="240">
        <f>IF(VLOOKUP(BF$2,'TIS Site Config'!$A$4:$AT$51,45,FALSE)="No",5,0)</f>
        <v>0</v>
      </c>
      <c r="BG135" s="65">
        <f>IF(VLOOKUP(BG$2,'TIS Site Config'!$A$4:$AT$51,45,FALSE)="No",5,0)</f>
        <v>5</v>
      </c>
      <c r="BH135" s="65">
        <f>IF(VLOOKUP(BH$2,'TIS Site Config'!$A$4:$AT$51,45,FALSE)="No",5,0)</f>
        <v>5</v>
      </c>
      <c r="BK135" s="3">
        <v>300</v>
      </c>
      <c r="BL135" s="950" t="b">
        <f>F135=BK135</f>
        <v>0</v>
      </c>
      <c r="BO135" s="950"/>
    </row>
    <row r="136" spans="1:67" s="950" customFormat="1" ht="15.75" thickBot="1" x14ac:dyDescent="0.3">
      <c r="A136" s="1380"/>
      <c r="B136" s="1261"/>
      <c r="C136" s="57" t="s">
        <v>1088</v>
      </c>
      <c r="D136" s="90">
        <v>3</v>
      </c>
      <c r="E136" s="84" t="s">
        <v>1083</v>
      </c>
      <c r="F136" s="60">
        <f t="shared" si="11"/>
        <v>25</v>
      </c>
      <c r="G136" s="459"/>
      <c r="H136" s="460"/>
      <c r="I136" s="460"/>
      <c r="J136" s="460"/>
      <c r="K136" s="461"/>
      <c r="L136" s="494"/>
      <c r="M136" s="134">
        <f>IF(VLOOKUP(M$2,'TIS Site Config'!$A$4:$AT$51,45,FALSE)="Yes",5,0)</f>
        <v>0</v>
      </c>
      <c r="N136" s="212">
        <f>IF(VLOOKUP(N$2,'TIS Site Config'!$A$4:$AT$51,45,FALSE)="Yes",5,0)</f>
        <v>0</v>
      </c>
      <c r="O136" s="215">
        <f>IF(VLOOKUP(O$2,'TIS Site Config'!$A$4:$AT$51,45,FALSE)="Yes",5,0)</f>
        <v>0</v>
      </c>
      <c r="P136" s="309">
        <f>IF(VLOOKUP(P$2,'TIS Site Config'!$A$4:$AT$51,45,FALSE)="Yes",5,0)</f>
        <v>0</v>
      </c>
      <c r="Q136" s="212">
        <f>IF(VLOOKUP(Q$2,'TIS Site Config'!$A$4:$AT$51,45,FALSE)="Yes",5,0)</f>
        <v>0</v>
      </c>
      <c r="R136" s="134">
        <f>IF(VLOOKUP(R$2,'TIS Site Config'!$A$4:$AT$51,45,FALSE)="Yes",5,0)</f>
        <v>0</v>
      </c>
      <c r="S136" s="309">
        <f>IF(VLOOKUP(S$2,'TIS Site Config'!$A$4:$AT$51,45,FALSE)="Yes",5,0)</f>
        <v>0</v>
      </c>
      <c r="T136" s="212">
        <f>IF(VLOOKUP(T$2,'TIS Site Config'!$A$4:$AT$51,45,FALSE)="Yes",5,0)</f>
        <v>0</v>
      </c>
      <c r="U136" s="134">
        <f>IF(VLOOKUP(U$2,'TIS Site Config'!$A$4:$AT$51,45,FALSE)="Yes",5,0)</f>
        <v>0</v>
      </c>
      <c r="V136" s="212">
        <f>IF(VLOOKUP(V$2,'TIS Site Config'!$A$4:$AT$51,45,FALSE)="Yes",5,0)</f>
        <v>0</v>
      </c>
      <c r="W136" s="214">
        <f>IF(VLOOKUP(W$2,'TIS Site Config'!$A$4:$AT$51,45,FALSE)="Yes",5,0)</f>
        <v>0</v>
      </c>
      <c r="X136" s="309">
        <f>IF(VLOOKUP(X$2,'TIS Site Config'!$A$4:$AT$51,45,FALSE)="Yes",5,0)</f>
        <v>0</v>
      </c>
      <c r="Y136" s="212">
        <f>IF(VLOOKUP(Y$2,'TIS Site Config'!$A$4:$AT$51,45,FALSE)="Yes",5,0)</f>
        <v>0</v>
      </c>
      <c r="Z136" s="134">
        <f>IF(VLOOKUP(Z$2,'TIS Site Config'!$A$4:$AT$51,45,FALSE)="Yes",5,0)</f>
        <v>0</v>
      </c>
      <c r="AA136" s="309">
        <f>IF(VLOOKUP(AA$2,'TIS Site Config'!$A$4:$AT$51,45,FALSE)="Yes",5,0)</f>
        <v>0</v>
      </c>
      <c r="AB136" s="212">
        <f>IF(VLOOKUP(AB$2,'TIS Site Config'!$A$4:$AT$51,45,FALSE)="Yes",5,0)</f>
        <v>0</v>
      </c>
      <c r="AC136" s="309">
        <f>IF(VLOOKUP(AC$2,'TIS Site Config'!$A$4:$AT$51,45,FALSE)="Yes",5,0)</f>
        <v>0</v>
      </c>
      <c r="AD136" s="213">
        <f>IF(VLOOKUP(AD$2,'TIS Site Config'!$A$4:$AT$51,45,FALSE)="Yes",5,0)</f>
        <v>0</v>
      </c>
      <c r="AE136" s="213">
        <f>IF(VLOOKUP(AE$2,'TIS Site Config'!$A$4:$AT$51,45,FALSE)="Yes",5,0)</f>
        <v>0</v>
      </c>
      <c r="AF136" s="39">
        <f>IF(VLOOKUP(AF$2,'TIS Site Config'!$A$4:$AT$51,45,FALSE)="Yes",5,0)</f>
        <v>0</v>
      </c>
      <c r="AG136" s="309">
        <f>IF(VLOOKUP(AG$2,'TIS Site Config'!$A$4:$AT$51,45,FALSE)="Yes",5,0)</f>
        <v>0</v>
      </c>
      <c r="AH136" s="212">
        <f>IF(VLOOKUP(AH$2,'TIS Site Config'!$A$4:$AT$51,45,FALSE)="Yes",5,0)</f>
        <v>0</v>
      </c>
      <c r="AI136" s="134">
        <f>IF(VLOOKUP(AI$2,'TIS Site Config'!$A$4:$AT$51,45,FALSE)="Yes",5,0)</f>
        <v>0</v>
      </c>
      <c r="AJ136" s="309">
        <f>IF(VLOOKUP(AJ$2,'TIS Site Config'!$A$4:$AT$51,45,FALSE)="Yes",5,0)</f>
        <v>0</v>
      </c>
      <c r="AK136" s="212">
        <f>IF(VLOOKUP(AK$2,'TIS Site Config'!$A$4:$AT$51,45,FALSE)="Yes",5,0)</f>
        <v>0</v>
      </c>
      <c r="AL136" s="134">
        <f>IF(VLOOKUP(AL$2,'TIS Site Config'!$A$4:$AT$51,45,FALSE)="Yes",5,0)</f>
        <v>0</v>
      </c>
      <c r="AM136" s="309">
        <f>IF(VLOOKUP(AM$2,'TIS Site Config'!$A$4:$AT$51,45,FALSE)="Yes",5,0)</f>
        <v>0</v>
      </c>
      <c r="AN136" s="212">
        <f>IF(VLOOKUP(AN$2,'TIS Site Config'!$A$4:$AT$51,45,FALSE)="Yes",5,0)</f>
        <v>0</v>
      </c>
      <c r="AO136" s="134">
        <f>IF(VLOOKUP(AO$2,'TIS Site Config'!$A$4:$AT$51,45,FALSE)="Yes",5,0)</f>
        <v>0</v>
      </c>
      <c r="AP136" s="309">
        <f>IF(VLOOKUP(AP$2,'TIS Site Config'!$A$4:$AT$51,45,FALSE)="Yes",5,0)</f>
        <v>0</v>
      </c>
      <c r="AQ136" s="134">
        <f>IF(VLOOKUP(AQ$2,'TIS Site Config'!$A$4:$AT$51,45,FALSE)="Yes",5,0)</f>
        <v>0</v>
      </c>
      <c r="AR136" s="134">
        <f>IF(VLOOKUP(AR$2,'TIS Site Config'!$A$4:$AT$51,45,FALSE)="Yes",5,0)</f>
        <v>0</v>
      </c>
      <c r="AS136" s="309">
        <f>IF(VLOOKUP(AS$2,'TIS Site Config'!$A$4:$AT$51,45,FALSE)="Yes",5,0)</f>
        <v>0</v>
      </c>
      <c r="AT136" s="134">
        <f>IF(VLOOKUP(AT$2,'TIS Site Config'!$A$4:$AT$51,45,FALSE)="Yes",5,0)</f>
        <v>0</v>
      </c>
      <c r="AU136" s="309">
        <f>IF(VLOOKUP(AU$2,'TIS Site Config'!$A$4:$AT$51,45,FALSE)="Yes",5,0)</f>
        <v>0</v>
      </c>
      <c r="AV136" s="134">
        <f>IF(VLOOKUP(AV$2,'TIS Site Config'!$A$4:$AT$51,45,FALSE)="Yes",5,0)</f>
        <v>0</v>
      </c>
      <c r="AW136" s="134">
        <f>IF(VLOOKUP(AW$2,'TIS Site Config'!$A$4:$AT$51,45,FALSE)="Yes",5,0)</f>
        <v>0</v>
      </c>
      <c r="AX136" s="212">
        <f>IF(VLOOKUP(AX$2,'TIS Site Config'!$A$4:$AT$51,45,FALSE)="Yes",5,0)</f>
        <v>0</v>
      </c>
      <c r="AY136" s="134">
        <f>IF(VLOOKUP(AY$2,'TIS Site Config'!$A$4:$AT$51,45,FALSE)="Yes",5,0)</f>
        <v>0</v>
      </c>
      <c r="AZ136" s="309">
        <f>IF(VLOOKUP(AZ$2,'TIS Site Config'!$A$4:$AT$51,45,FALSE)="Yes",5,0)</f>
        <v>0</v>
      </c>
      <c r="BA136" s="213">
        <f>IF(VLOOKUP(BA$2,'TIS Site Config'!$A$4:$AT$51,45,FALSE)="Yes",5,0)</f>
        <v>0</v>
      </c>
      <c r="BB136" s="134">
        <f>IF(VLOOKUP(BB$2,'TIS Site Config'!$A$4:$AT$51,45,FALSE)="Yes",5,0)</f>
        <v>5</v>
      </c>
      <c r="BC136" s="212">
        <f>IF(VLOOKUP(BC$2,'TIS Site Config'!$A$4:$AT$51,45,FALSE)="Yes",5,0)</f>
        <v>5</v>
      </c>
      <c r="BD136" s="134">
        <f>IF(VLOOKUP(BD$2,'TIS Site Config'!$A$4:$AT$51,45,FALSE)="Yes",5,0)</f>
        <v>5</v>
      </c>
      <c r="BE136" s="309">
        <f>IF(VLOOKUP(BE$2,'TIS Site Config'!$A$4:$AT$51,45,FALSE)="Yes",5,0)</f>
        <v>5</v>
      </c>
      <c r="BF136" s="212">
        <f>IF(VLOOKUP(BF$2,'TIS Site Config'!$A$4:$AT$51,45,FALSE)="Yes",5,0)</f>
        <v>5</v>
      </c>
      <c r="BG136" s="60">
        <f>IF(VLOOKUP(BG$2,'TIS Site Config'!$A$4:$AT$51,45,FALSE)="Yes",5,0)</f>
        <v>0</v>
      </c>
      <c r="BH136" s="60">
        <f>IF(VLOOKUP(BH$2,'TIS Site Config'!$A$4:$AT$51,45,FALSE)="Yes",5,0)</f>
        <v>0</v>
      </c>
    </row>
    <row r="137" spans="1:67" ht="16.5" thickTop="1" thickBot="1" x14ac:dyDescent="0.3">
      <c r="A137" s="1380"/>
      <c r="B137" s="965" t="s">
        <v>457</v>
      </c>
      <c r="C137" s="64" t="s">
        <v>375</v>
      </c>
      <c r="D137" s="95">
        <v>3</v>
      </c>
      <c r="E137" s="111" t="s">
        <v>440</v>
      </c>
      <c r="F137" s="65">
        <f t="shared" ref="F137:F149" si="12">SUM(M137:BG137)</f>
        <v>156</v>
      </c>
      <c r="G137" s="447"/>
      <c r="H137" s="448">
        <v>1</v>
      </c>
      <c r="I137" s="448"/>
      <c r="J137" s="448"/>
      <c r="K137" s="449"/>
      <c r="L137" s="490"/>
      <c r="M137" s="139">
        <f>VLOOKUP(M$2,'TIS Site Config'!$A$3:$AQ$51,39,FALSE)</f>
        <v>5</v>
      </c>
      <c r="N137" s="240">
        <f>VLOOKUP(N$2,'TIS Site Config'!$A$3:$AQ$51,39,FALSE)</f>
        <v>4</v>
      </c>
      <c r="O137" s="244">
        <f>VLOOKUP(O$2,'TIS Site Config'!$A$3:$AQ$51,39,FALSE)</f>
        <v>5</v>
      </c>
      <c r="P137" s="239">
        <f>VLOOKUP(P$2,'TIS Site Config'!$A$3:$AQ$51,39,FALSE)</f>
        <v>4</v>
      </c>
      <c r="Q137" s="240">
        <f>VLOOKUP(Q$2,'TIS Site Config'!$A$3:$AQ$51,39,FALSE)</f>
        <v>4</v>
      </c>
      <c r="R137" s="139">
        <f>VLOOKUP(R$2,'TIS Site Config'!$A$3:$AQ$51,39,FALSE)</f>
        <v>5</v>
      </c>
      <c r="S137" s="239">
        <f>VLOOKUP(S$2,'TIS Site Config'!$A$3:$AQ$51,39,FALSE)</f>
        <v>4</v>
      </c>
      <c r="T137" s="240">
        <f>VLOOKUP(T$2,'TIS Site Config'!$A$3:$AQ$51,39,FALSE)</f>
        <v>5</v>
      </c>
      <c r="U137" s="139">
        <f>VLOOKUP(U$2,'TIS Site Config'!$A$3:$AQ$51,39,FALSE)</f>
        <v>5</v>
      </c>
      <c r="V137" s="240">
        <f>VLOOKUP(V$2,'TIS Site Config'!$A$3:$AQ$51,39,FALSE)</f>
        <v>0</v>
      </c>
      <c r="W137" s="243">
        <f>VLOOKUP(W$2,'TIS Site Config'!$A$3:$AQ$51,39,FALSE)</f>
        <v>5</v>
      </c>
      <c r="X137" s="239">
        <f>VLOOKUP(X$2,'TIS Site Config'!$A$3:$AQ$51,39,FALSE)</f>
        <v>4</v>
      </c>
      <c r="Y137" s="240">
        <f>VLOOKUP(Y$2,'TIS Site Config'!$A$3:$AQ$51,39,FALSE)</f>
        <v>4</v>
      </c>
      <c r="Z137" s="139">
        <f>VLOOKUP(Z$2,'TIS Site Config'!$A$3:$AQ$51,39,FALSE)</f>
        <v>5</v>
      </c>
      <c r="AA137" s="239">
        <f>VLOOKUP(AA$2,'TIS Site Config'!$A$3:$AQ$51,39,FALSE)</f>
        <v>4</v>
      </c>
      <c r="AB137" s="240">
        <f>VLOOKUP(AB$2,'TIS Site Config'!$A$3:$AQ$51,39,FALSE)</f>
        <v>4</v>
      </c>
      <c r="AC137" s="239">
        <f>VLOOKUP(AC$2,'TIS Site Config'!$A$3:$AQ$51,39,FALSE)</f>
        <v>5</v>
      </c>
      <c r="AD137" s="241">
        <f>VLOOKUP(AD$2,'TIS Site Config'!$A$3:$AQ$51,39,FALSE)</f>
        <v>4</v>
      </c>
      <c r="AE137" s="241">
        <f>VLOOKUP(AE$2,'TIS Site Config'!$A$3:$AQ$51,39,FALSE)</f>
        <v>4</v>
      </c>
      <c r="AF137" s="242">
        <f>VLOOKUP(AF$2,'TIS Site Config'!$A$3:$AQ$51,39,FALSE)</f>
        <v>5</v>
      </c>
      <c r="AG137" s="239">
        <f>VLOOKUP(AG$2,'TIS Site Config'!$A$3:$AQ$51,39,FALSE)</f>
        <v>4</v>
      </c>
      <c r="AH137" s="240">
        <f>VLOOKUP(AH$2,'TIS Site Config'!$A$3:$AQ$51,39,FALSE)</f>
        <v>4</v>
      </c>
      <c r="AI137" s="139">
        <f>VLOOKUP(AI$2,'TIS Site Config'!$A$3:$AQ$51,39,FALSE)</f>
        <v>0</v>
      </c>
      <c r="AJ137" s="239">
        <f>VLOOKUP(AJ$2,'TIS Site Config'!$A$3:$AQ$51,39,FALSE)</f>
        <v>0</v>
      </c>
      <c r="AK137" s="240">
        <f>VLOOKUP(AK$2,'TIS Site Config'!$A$3:$AQ$51,39,FALSE)</f>
        <v>0</v>
      </c>
      <c r="AL137" s="139">
        <f>VLOOKUP(AL$2,'TIS Site Config'!$A$3:$AQ$51,39,FALSE)</f>
        <v>0</v>
      </c>
      <c r="AM137" s="239">
        <f>VLOOKUP(AM$2,'TIS Site Config'!$A$3:$AQ$51,39,FALSE)</f>
        <v>4</v>
      </c>
      <c r="AN137" s="240">
        <f>VLOOKUP(AN$2,'TIS Site Config'!$A$3:$AQ$51,39,FALSE)</f>
        <v>4</v>
      </c>
      <c r="AO137" s="139">
        <f>VLOOKUP(AO$2,'TIS Site Config'!$A$3:$AQ$51,39,FALSE)</f>
        <v>5</v>
      </c>
      <c r="AP137" s="239">
        <f>VLOOKUP(AP$2,'TIS Site Config'!$A$3:$AQ$51,39,FALSE)</f>
        <v>0</v>
      </c>
      <c r="AQ137" s="139">
        <f>VLOOKUP(AQ$2,'TIS Site Config'!$A$3:$AQ$51,39,FALSE)</f>
        <v>5</v>
      </c>
      <c r="AR137" s="139">
        <f>VLOOKUP(AR$2,'TIS Site Config'!$A$3:$AQ$51,39,FALSE)</f>
        <v>0</v>
      </c>
      <c r="AS137" s="239">
        <f>VLOOKUP(AS$2,'TIS Site Config'!$A$3:$AQ$51,39,FALSE)</f>
        <v>0</v>
      </c>
      <c r="AT137" s="139">
        <f>VLOOKUP(AT$2,'TIS Site Config'!$A$3:$AQ$51,39,FALSE)</f>
        <v>5</v>
      </c>
      <c r="AU137" s="239">
        <f>VLOOKUP(AU$2,'TIS Site Config'!$A$3:$AQ$51,39,FALSE)</f>
        <v>4</v>
      </c>
      <c r="AV137" s="139">
        <f>VLOOKUP(AV$2,'TIS Site Config'!$A$3:$AQ$51,39,FALSE)</f>
        <v>0</v>
      </c>
      <c r="AW137" s="139">
        <f>VLOOKUP(AW$2,'TIS Site Config'!$A$3:$AQ$51,39,FALSE)</f>
        <v>5</v>
      </c>
      <c r="AX137" s="240">
        <f>VLOOKUP(AX$2,'TIS Site Config'!$A$3:$AQ$51,39,FALSE)</f>
        <v>4</v>
      </c>
      <c r="AY137" s="139">
        <f>VLOOKUP(AY$2,'TIS Site Config'!$A$3:$AQ$51,39,FALSE)</f>
        <v>5</v>
      </c>
      <c r="AZ137" s="239">
        <f>VLOOKUP(AZ$2,'TIS Site Config'!$A$3:$AQ$51,39,FALSE)</f>
        <v>4</v>
      </c>
      <c r="BA137" s="241">
        <f>VLOOKUP(BA$2,'TIS Site Config'!$A$3:$AQ$51,39,FALSE)</f>
        <v>4</v>
      </c>
      <c r="BB137" s="139">
        <f>VLOOKUP(BB$2,'TIS Site Config'!$A$3:$AQ$51,39,FALSE)</f>
        <v>0</v>
      </c>
      <c r="BC137" s="240">
        <f>VLOOKUP(BC$2,'TIS Site Config'!$A$3:$AQ$51,39,FALSE)</f>
        <v>0</v>
      </c>
      <c r="BD137" s="139">
        <f>VLOOKUP(BD$2,'TIS Site Config'!$A$3:$AQ$51,39,FALSE)</f>
        <v>5</v>
      </c>
      <c r="BE137" s="239">
        <f>VLOOKUP(BE$2,'TIS Site Config'!$A$3:$AQ$51,39,FALSE)</f>
        <v>4</v>
      </c>
      <c r="BF137" s="240">
        <f>VLOOKUP(BF$2,'TIS Site Config'!$A$3:$AQ$51,39,FALSE)</f>
        <v>0</v>
      </c>
      <c r="BG137" s="65">
        <f>VLOOKUP(BG$2,'TIS Site Config'!$A$3:$AQ$51,39,FALSE)</f>
        <v>5</v>
      </c>
      <c r="BH137" s="65">
        <f>VLOOKUP(BH$2,'TIS Site Config'!$A$3:$AQ$51,39,FALSE)</f>
        <v>0</v>
      </c>
      <c r="BK137" s="3">
        <v>260</v>
      </c>
      <c r="BL137" s="950" t="b">
        <f t="shared" ref="BL137:BL149" si="13">F137=BK137</f>
        <v>0</v>
      </c>
      <c r="BO137" s="950"/>
    </row>
    <row r="138" spans="1:67" ht="16.5" thickTop="1" thickBot="1" x14ac:dyDescent="0.3">
      <c r="A138" s="1381"/>
      <c r="B138" s="1035" t="s">
        <v>520</v>
      </c>
      <c r="C138" s="1036" t="s">
        <v>521</v>
      </c>
      <c r="D138" s="1037">
        <v>3</v>
      </c>
      <c r="E138" s="1038" t="s">
        <v>447</v>
      </c>
      <c r="F138" s="1039">
        <f t="shared" si="12"/>
        <v>705</v>
      </c>
      <c r="G138" s="1040"/>
      <c r="H138" s="1041"/>
      <c r="I138" s="1041"/>
      <c r="J138" s="1041"/>
      <c r="K138" s="1042"/>
      <c r="L138" s="1043"/>
      <c r="M138" s="1090">
        <f xml:space="preserve"> VLOOKUP(M$2,'TIS Site Config'!$A$3:$AQ$51,40,FALSE)*5</f>
        <v>15</v>
      </c>
      <c r="N138" s="1045">
        <f xml:space="preserve"> VLOOKUP(N$2,'TIS Site Config'!$A$3:$AQ$51,40,FALSE)*5</f>
        <v>15</v>
      </c>
      <c r="O138" s="1046">
        <f xml:space="preserve"> VLOOKUP(O$2,'TIS Site Config'!$A$3:$AQ$51,40,FALSE)*5</f>
        <v>15</v>
      </c>
      <c r="P138" s="1047">
        <f xml:space="preserve"> VLOOKUP(P$2,'TIS Site Config'!$A$3:$AQ$51,40,FALSE)*5</f>
        <v>15</v>
      </c>
      <c r="Q138" s="1045">
        <f xml:space="preserve"> VLOOKUP(Q$2,'TIS Site Config'!$A$3:$AQ$51,40,FALSE)*5</f>
        <v>15</v>
      </c>
      <c r="R138" s="1044">
        <f xml:space="preserve"> VLOOKUP(R$2,'TIS Site Config'!$A$3:$AQ$51,40,FALSE)*5</f>
        <v>15</v>
      </c>
      <c r="S138" s="1047">
        <f xml:space="preserve"> VLOOKUP(S$2,'TIS Site Config'!$A$3:$AQ$51,40,FALSE)*5</f>
        <v>15</v>
      </c>
      <c r="T138" s="1045">
        <f xml:space="preserve"> VLOOKUP(T$2,'TIS Site Config'!$A$3:$AQ$51,40,FALSE)*5</f>
        <v>15</v>
      </c>
      <c r="U138" s="1044">
        <f xml:space="preserve"> VLOOKUP(U$2,'TIS Site Config'!$A$3:$AQ$51,40,FALSE)*5</f>
        <v>15</v>
      </c>
      <c r="V138" s="1045">
        <f xml:space="preserve"> VLOOKUP(V$2,'TIS Site Config'!$A$3:$AQ$51,40,FALSE)*5</f>
        <v>15</v>
      </c>
      <c r="W138" s="1048">
        <f xml:space="preserve"> VLOOKUP(W$2,'TIS Site Config'!$A$3:$AQ$51,40,FALSE)*5</f>
        <v>15</v>
      </c>
      <c r="X138" s="1047">
        <f xml:space="preserve"> VLOOKUP(X$2,'TIS Site Config'!$A$3:$AQ$51,40,FALSE)*5</f>
        <v>15</v>
      </c>
      <c r="Y138" s="1045">
        <f xml:space="preserve"> VLOOKUP(Y$2,'TIS Site Config'!$A$3:$AQ$51,40,FALSE)*5</f>
        <v>15</v>
      </c>
      <c r="Z138" s="1044">
        <f xml:space="preserve"> VLOOKUP(Z$2,'TIS Site Config'!$A$3:$AQ$51,40,FALSE)*5</f>
        <v>15</v>
      </c>
      <c r="AA138" s="1047">
        <f xml:space="preserve"> VLOOKUP(AA$2,'TIS Site Config'!$A$3:$AQ$51,40,FALSE)*5</f>
        <v>15</v>
      </c>
      <c r="AB138" s="1045">
        <f xml:space="preserve"> VLOOKUP(AB$2,'TIS Site Config'!$A$3:$AQ$51,40,FALSE)*5</f>
        <v>15</v>
      </c>
      <c r="AC138" s="1047">
        <f xml:space="preserve"> VLOOKUP(AC$2,'TIS Site Config'!$A$3:$AQ$51,40,FALSE)*5</f>
        <v>15</v>
      </c>
      <c r="AD138" s="1049">
        <f xml:space="preserve"> VLOOKUP(AD$2,'TIS Site Config'!$A$3:$AQ$51,40,FALSE)*5</f>
        <v>15</v>
      </c>
      <c r="AE138" s="1049">
        <f xml:space="preserve"> VLOOKUP(AE$2,'TIS Site Config'!$A$3:$AQ$51,40,FALSE)*5</f>
        <v>15</v>
      </c>
      <c r="AF138" s="1050">
        <f xml:space="preserve"> VLOOKUP(AF$2,'TIS Site Config'!$A$3:$AQ$51,40,FALSE)*5</f>
        <v>15</v>
      </c>
      <c r="AG138" s="1047">
        <f xml:space="preserve"> VLOOKUP(AG$2,'TIS Site Config'!$A$3:$AQ$51,40,FALSE)*5</f>
        <v>15</v>
      </c>
      <c r="AH138" s="1045">
        <f xml:space="preserve"> VLOOKUP(AH$2,'TIS Site Config'!$A$3:$AQ$51,40,FALSE)*5</f>
        <v>15</v>
      </c>
      <c r="AI138" s="1044">
        <f xml:space="preserve"> VLOOKUP(AI$2,'TIS Site Config'!$A$3:$AQ$51,40,FALSE)*5</f>
        <v>15</v>
      </c>
      <c r="AJ138" s="1047">
        <f xml:space="preserve"> VLOOKUP(AJ$2,'TIS Site Config'!$A$3:$AQ$51,40,FALSE)*5</f>
        <v>15</v>
      </c>
      <c r="AK138" s="1045">
        <f xml:space="preserve"> VLOOKUP(AK$2,'TIS Site Config'!$A$3:$AQ$51,40,FALSE)*5</f>
        <v>15</v>
      </c>
      <c r="AL138" s="1044">
        <f xml:space="preserve"> VLOOKUP(AL$2,'TIS Site Config'!$A$3:$AQ$51,40,FALSE)*5</f>
        <v>15</v>
      </c>
      <c r="AM138" s="1047">
        <f xml:space="preserve"> VLOOKUP(AM$2,'TIS Site Config'!$A$3:$AQ$51,40,FALSE)*5</f>
        <v>15</v>
      </c>
      <c r="AN138" s="1045">
        <f xml:space="preserve"> VLOOKUP(AN$2,'TIS Site Config'!$A$3:$AQ$51,40,FALSE)*5</f>
        <v>15</v>
      </c>
      <c r="AO138" s="1044">
        <f xml:space="preserve"> VLOOKUP(AO$2,'TIS Site Config'!$A$3:$AQ$51,40,FALSE)*5</f>
        <v>15</v>
      </c>
      <c r="AP138" s="1047">
        <f xml:space="preserve"> VLOOKUP(AP$2,'TIS Site Config'!$A$3:$AQ$51,40,FALSE)*5</f>
        <v>15</v>
      </c>
      <c r="AQ138" s="1044">
        <f xml:space="preserve"> VLOOKUP(AQ$2,'TIS Site Config'!$A$3:$AQ$51,40,FALSE)*5</f>
        <v>15</v>
      </c>
      <c r="AR138" s="1044">
        <f xml:space="preserve"> VLOOKUP(AR$2,'TIS Site Config'!$A$3:$AQ$51,40,FALSE)*5</f>
        <v>15</v>
      </c>
      <c r="AS138" s="1047">
        <f xml:space="preserve"> VLOOKUP(AS$2,'TIS Site Config'!$A$3:$AQ$51,40,FALSE)*5</f>
        <v>15</v>
      </c>
      <c r="AT138" s="1044">
        <f xml:space="preserve"> VLOOKUP(AT$2,'TIS Site Config'!$A$3:$AQ$51,40,FALSE)*5</f>
        <v>15</v>
      </c>
      <c r="AU138" s="1047">
        <f xml:space="preserve"> VLOOKUP(AU$2,'TIS Site Config'!$A$3:$AQ$51,40,FALSE)*5</f>
        <v>15</v>
      </c>
      <c r="AV138" s="1044">
        <f xml:space="preserve"> VLOOKUP(AV$2,'TIS Site Config'!$A$3:$AQ$51,40,FALSE)*5</f>
        <v>15</v>
      </c>
      <c r="AW138" s="1044">
        <f xml:space="preserve"> VLOOKUP(AW$2,'TIS Site Config'!$A$3:$AQ$51,40,FALSE)*5</f>
        <v>15</v>
      </c>
      <c r="AX138" s="1045">
        <f xml:space="preserve"> VLOOKUP(AX$2,'TIS Site Config'!$A$3:$AQ$51,40,FALSE)*5</f>
        <v>15</v>
      </c>
      <c r="AY138" s="1044">
        <f xml:space="preserve"> VLOOKUP(AY$2,'TIS Site Config'!$A$3:$AQ$51,40,FALSE)*5</f>
        <v>15</v>
      </c>
      <c r="AZ138" s="1047">
        <f xml:space="preserve"> VLOOKUP(AZ$2,'TIS Site Config'!$A$3:$AQ$51,40,FALSE)*5</f>
        <v>15</v>
      </c>
      <c r="BA138" s="1049">
        <f xml:space="preserve"> VLOOKUP(BA$2,'TIS Site Config'!$A$3:$AQ$51,40,FALSE)*5</f>
        <v>15</v>
      </c>
      <c r="BB138" s="1044">
        <f xml:space="preserve"> VLOOKUP(BB$2,'TIS Site Config'!$A$3:$AQ$51,40,FALSE)*5</f>
        <v>15</v>
      </c>
      <c r="BC138" s="1045">
        <f xml:space="preserve"> VLOOKUP(BC$2,'TIS Site Config'!$A$3:$AQ$51,40,FALSE)*5</f>
        <v>15</v>
      </c>
      <c r="BD138" s="1044">
        <f xml:space="preserve"> VLOOKUP(BD$2,'TIS Site Config'!$A$3:$AQ$51,40,FALSE)*5</f>
        <v>15</v>
      </c>
      <c r="BE138" s="1047">
        <f xml:space="preserve"> VLOOKUP(BE$2,'TIS Site Config'!$A$3:$AQ$51,40,FALSE)*5</f>
        <v>15</v>
      </c>
      <c r="BF138" s="1045">
        <f xml:space="preserve"> VLOOKUP(BF$2,'TIS Site Config'!$A$3:$AQ$51,40,FALSE)*5</f>
        <v>15</v>
      </c>
      <c r="BG138" s="1051">
        <f xml:space="preserve"> VLOOKUP(BG$2,'TIS Site Config'!$A$3:$AQ$51,40,FALSE)*5</f>
        <v>15</v>
      </c>
      <c r="BH138" s="1039">
        <f xml:space="preserve"> VLOOKUP(BH$2,'TIS Site Config'!$A$3:$AQ$51,40,FALSE)*5</f>
        <v>15</v>
      </c>
      <c r="BI138" s="3" t="s">
        <v>975</v>
      </c>
      <c r="BK138" s="3">
        <v>900</v>
      </c>
      <c r="BL138" s="950" t="b">
        <f t="shared" si="13"/>
        <v>0</v>
      </c>
      <c r="BO138" s="950"/>
    </row>
    <row r="139" spans="1:67" x14ac:dyDescent="0.25">
      <c r="A139" s="1356" t="s">
        <v>402</v>
      </c>
      <c r="B139" s="1261" t="s">
        <v>398</v>
      </c>
      <c r="C139" s="59" t="s">
        <v>555</v>
      </c>
      <c r="D139" s="90">
        <v>3</v>
      </c>
      <c r="E139" s="84" t="s">
        <v>553</v>
      </c>
      <c r="F139" s="60">
        <f t="shared" si="12"/>
        <v>5</v>
      </c>
      <c r="G139" s="459"/>
      <c r="H139" s="460">
        <v>1</v>
      </c>
      <c r="I139" s="460"/>
      <c r="J139" s="460"/>
      <c r="K139" s="461"/>
      <c r="L139" s="494"/>
      <c r="M139" s="134">
        <f>IF(
             AND(VLOOKUP(M$2,'TIS Site Config'!$A$3:$AQ$51,5,FALSE)="Core",
                        VLOOKUP(M$2,'TIS Site Config'!$A$3:$AQ$51,6,FALSE)="Non-Heated"),
                              1,0)</f>
        <v>0</v>
      </c>
      <c r="N139" s="212">
        <f>IF(
             AND(VLOOKUP(N$2,'TIS Site Config'!$A$3:$AQ$51,5,FALSE)="Core",
                        VLOOKUP(N$2,'TIS Site Config'!$A$3:$AQ$51,6,FALSE)="Non-Heated"),
                              1,0)</f>
        <v>0</v>
      </c>
      <c r="O139" s="215">
        <f>IF(
             AND(VLOOKUP(O$2,'TIS Site Config'!$A$3:$AQ$51,5,FALSE)="Core",
                        VLOOKUP(O$2,'TIS Site Config'!$A$3:$AQ$51,6,FALSE)="Non-Heated"),
                              1,0)</f>
        <v>0</v>
      </c>
      <c r="P139" s="309">
        <f>IF(
             AND(VLOOKUP(P$2,'TIS Site Config'!$A$3:$AQ$51,5,FALSE)="Core",
                        VLOOKUP(P$2,'TIS Site Config'!$A$3:$AQ$51,6,FALSE)="Non-Heated"),
                              1,0)</f>
        <v>0</v>
      </c>
      <c r="Q139" s="212">
        <f>IF(
             AND(VLOOKUP(Q$2,'TIS Site Config'!$A$3:$AQ$51,5,FALSE)="Core",
                        VLOOKUP(Q$2,'TIS Site Config'!$A$3:$AQ$51,6,FALSE)="Non-Heated"),
                              1,0)</f>
        <v>0</v>
      </c>
      <c r="R139" s="134">
        <f>IF(
             AND(VLOOKUP(R$2,'TIS Site Config'!$A$3:$AQ$51,5,FALSE)="Core",
                        VLOOKUP(R$2,'TIS Site Config'!$A$3:$AQ$51,6,FALSE)="Non-Heated"),
                              1,0)</f>
        <v>1</v>
      </c>
      <c r="S139" s="309">
        <f>IF(
             AND(VLOOKUP(S$2,'TIS Site Config'!$A$3:$AQ$51,5,FALSE)="Core",
                        VLOOKUP(S$2,'TIS Site Config'!$A$3:$AQ$51,6,FALSE)="Non-Heated"),
                              1,0)</f>
        <v>0</v>
      </c>
      <c r="T139" s="212">
        <f>IF(
             AND(VLOOKUP(T$2,'TIS Site Config'!$A$3:$AQ$51,5,FALSE)="Core",
                        VLOOKUP(T$2,'TIS Site Config'!$A$3:$AQ$51,6,FALSE)="Non-Heated"),
                              1,0)</f>
        <v>0</v>
      </c>
      <c r="U139" s="134">
        <f>IF(
             AND(VLOOKUP(U$2,'TIS Site Config'!$A$3:$AQ$51,5,FALSE)="Core",
                        VLOOKUP(U$2,'TIS Site Config'!$A$3:$AQ$51,6,FALSE)="Non-Heated"),
                              1,0)</f>
        <v>1</v>
      </c>
      <c r="V139" s="212">
        <f>IF(
             AND(VLOOKUP(V$2,'TIS Site Config'!$A$3:$AQ$51,5,FALSE)="Core",
                        VLOOKUP(V$2,'TIS Site Config'!$A$3:$AQ$51,6,FALSE)="Non-Heated"),
                              1,0)</f>
        <v>0</v>
      </c>
      <c r="W139" s="214">
        <f>IF(
             AND(VLOOKUP(W$2,'TIS Site Config'!$A$3:$AQ$51,5,FALSE)="Core",
                        VLOOKUP(W$2,'TIS Site Config'!$A$3:$AQ$51,6,FALSE)="Non-Heated"),
                              1,0)</f>
        <v>0</v>
      </c>
      <c r="X139" s="309">
        <f>IF(
             AND(VLOOKUP(X$2,'TIS Site Config'!$A$3:$AQ$51,5,FALSE)="Core",
                        VLOOKUP(X$2,'TIS Site Config'!$A$3:$AQ$51,6,FALSE)="Non-Heated"),
                              1,0)</f>
        <v>0</v>
      </c>
      <c r="Y139" s="212">
        <f>IF(
             AND(VLOOKUP(Y$2,'TIS Site Config'!$A$3:$AQ$51,5,FALSE)="Core",
                        VLOOKUP(Y$2,'TIS Site Config'!$A$3:$AQ$51,6,FALSE)="Non-Heated"),
                              1,0)</f>
        <v>0</v>
      </c>
      <c r="Z139" s="134">
        <f>IF(
             AND(VLOOKUP(Z$2,'TIS Site Config'!$A$3:$AQ$51,5,FALSE)="Core",
                        VLOOKUP(Z$2,'TIS Site Config'!$A$3:$AQ$51,6,FALSE)="Non-Heated"),
                              1,0)</f>
        <v>0</v>
      </c>
      <c r="AA139" s="309">
        <f>IF(
             AND(VLOOKUP(AA$2,'TIS Site Config'!$A$3:$AQ$51,5,FALSE)="Core",
                        VLOOKUP(AA$2,'TIS Site Config'!$A$3:$AQ$51,6,FALSE)="Non-Heated"),
                              1,0)</f>
        <v>0</v>
      </c>
      <c r="AB139" s="212">
        <f>IF(
             AND(VLOOKUP(AB$2,'TIS Site Config'!$A$3:$AQ$51,5,FALSE)="Core",
                        VLOOKUP(AB$2,'TIS Site Config'!$A$3:$AQ$51,6,FALSE)="Non-Heated"),
                              1,0)</f>
        <v>0</v>
      </c>
      <c r="AC139" s="309">
        <f>IF(
             AND(VLOOKUP(AC$2,'TIS Site Config'!$A$3:$AQ$51,5,FALSE)="Core",
                        VLOOKUP(AC$2,'TIS Site Config'!$A$3:$AQ$51,6,FALSE)="Non-Heated"),
                              1,0)</f>
        <v>0</v>
      </c>
      <c r="AD139" s="213">
        <f>IF(
             AND(VLOOKUP(AD$2,'TIS Site Config'!$A$3:$AQ$51,5,FALSE)="Core",
                        VLOOKUP(AD$2,'TIS Site Config'!$A$3:$AQ$51,6,FALSE)="Non-Heated"),
                              1,0)</f>
        <v>0</v>
      </c>
      <c r="AE139" s="213">
        <f>IF(
             AND(VLOOKUP(AE$2,'TIS Site Config'!$A$3:$AQ$51,5,FALSE)="Core",
                        VLOOKUP(AE$2,'TIS Site Config'!$A$3:$AQ$51,6,FALSE)="Non-Heated"),
                              1,0)</f>
        <v>0</v>
      </c>
      <c r="AF139" s="39">
        <f>IF(
             AND(VLOOKUP(AF$2,'TIS Site Config'!$A$3:$AQ$51,5,FALSE)="Core",
                        VLOOKUP(AF$2,'TIS Site Config'!$A$3:$AQ$51,6,FALSE)="Non-Heated"),
                              1,0)</f>
        <v>1</v>
      </c>
      <c r="AG139" s="309">
        <f>IF(
             AND(VLOOKUP(AG$2,'TIS Site Config'!$A$3:$AQ$51,5,FALSE)="Core",
                        VLOOKUP(AG$2,'TIS Site Config'!$A$3:$AQ$51,6,FALSE)="Non-Heated"),
                              1,0)</f>
        <v>0</v>
      </c>
      <c r="AH139" s="212">
        <f>IF(
             AND(VLOOKUP(AH$2,'TIS Site Config'!$A$3:$AQ$51,5,FALSE)="Core",
                        VLOOKUP(AH$2,'TIS Site Config'!$A$3:$AQ$51,6,FALSE)="Non-Heated"),
                              1,0)</f>
        <v>0</v>
      </c>
      <c r="AI139" s="134">
        <f>IF(
             AND(VLOOKUP(AI$2,'TIS Site Config'!$A$3:$AQ$51,5,FALSE)="Core",
                        VLOOKUP(AI$2,'TIS Site Config'!$A$3:$AQ$51,6,FALSE)="Non-Heated"),
                              1,0)</f>
        <v>0</v>
      </c>
      <c r="AJ139" s="309">
        <f>IF(
             AND(VLOOKUP(AJ$2,'TIS Site Config'!$A$3:$AQ$51,5,FALSE)="Core",
                        VLOOKUP(AJ$2,'TIS Site Config'!$A$3:$AQ$51,6,FALSE)="Non-Heated"),
                              1,0)</f>
        <v>0</v>
      </c>
      <c r="AK139" s="212">
        <f>IF(
             AND(VLOOKUP(AK$2,'TIS Site Config'!$A$3:$AQ$51,5,FALSE)="Core",
                        VLOOKUP(AK$2,'TIS Site Config'!$A$3:$AQ$51,6,FALSE)="Non-Heated"),
                              1,0)</f>
        <v>0</v>
      </c>
      <c r="AL139" s="134">
        <f>IF(
             AND(VLOOKUP(AL$2,'TIS Site Config'!$A$3:$AQ$51,5,FALSE)="Core",
                        VLOOKUP(AL$2,'TIS Site Config'!$A$3:$AQ$51,6,FALSE)="Non-Heated"),
                              1,0)</f>
        <v>0</v>
      </c>
      <c r="AM139" s="309">
        <f>IF(
             AND(VLOOKUP(AM$2,'TIS Site Config'!$A$3:$AQ$51,5,FALSE)="Core",
                        VLOOKUP(AM$2,'TIS Site Config'!$A$3:$AQ$51,6,FALSE)="Non-Heated"),
                              1,0)</f>
        <v>0</v>
      </c>
      <c r="AN139" s="212">
        <f>IF(
             AND(VLOOKUP(AN$2,'TIS Site Config'!$A$3:$AQ$51,5,FALSE)="Core",
                        VLOOKUP(AN$2,'TIS Site Config'!$A$3:$AQ$51,6,FALSE)="Non-Heated"),
                              1,0)</f>
        <v>0</v>
      </c>
      <c r="AO139" s="134">
        <f>IF(
             AND(VLOOKUP(AO$2,'TIS Site Config'!$A$3:$AQ$51,5,FALSE)="Core",
                        VLOOKUP(AO$2,'TIS Site Config'!$A$3:$AQ$51,6,FALSE)="Non-Heated"),
                              1,0)</f>
        <v>0</v>
      </c>
      <c r="AP139" s="309">
        <f>IF(
             AND(VLOOKUP(AP$2,'TIS Site Config'!$A$3:$AQ$51,5,FALSE)="Core",
                        VLOOKUP(AP$2,'TIS Site Config'!$A$3:$AQ$51,6,FALSE)="Non-Heated"),
                              1,0)</f>
        <v>0</v>
      </c>
      <c r="AQ139" s="134">
        <f>IF(
             AND(VLOOKUP(AQ$2,'TIS Site Config'!$A$3:$AQ$51,5,FALSE)="Core",
                        VLOOKUP(AQ$2,'TIS Site Config'!$A$3:$AQ$51,6,FALSE)="Non-Heated"),
                              1,0)</f>
        <v>0</v>
      </c>
      <c r="AR139" s="134">
        <f>IF(
             AND(VLOOKUP(AR$2,'TIS Site Config'!$A$3:$AQ$51,5,FALSE)="Core",
                        VLOOKUP(AR$2,'TIS Site Config'!$A$3:$AQ$51,6,FALSE)="Non-Heated"),
                              1,0)</f>
        <v>0</v>
      </c>
      <c r="AS139" s="309">
        <f>IF(
             AND(VLOOKUP(AS$2,'TIS Site Config'!$A$3:$AQ$51,5,FALSE)="Core",
                        VLOOKUP(AS$2,'TIS Site Config'!$A$3:$AQ$51,6,FALSE)="Non-Heated"),
                              1,0)</f>
        <v>0</v>
      </c>
      <c r="AT139" s="134">
        <f>IF(
             AND(VLOOKUP(AT$2,'TIS Site Config'!$A$3:$AQ$51,5,FALSE)="Core",
                        VLOOKUP(AT$2,'TIS Site Config'!$A$3:$AQ$51,6,FALSE)="Non-Heated"),
                              1,0)</f>
        <v>1</v>
      </c>
      <c r="AU139" s="309">
        <f>IF(
             AND(VLOOKUP(AU$2,'TIS Site Config'!$A$3:$AQ$51,5,FALSE)="Core",
                        VLOOKUP(AU$2,'TIS Site Config'!$A$3:$AQ$51,6,FALSE)="Non-Heated"),
                              1,0)</f>
        <v>0</v>
      </c>
      <c r="AV139" s="134">
        <f>IF(
             AND(VLOOKUP(AV$2,'TIS Site Config'!$A$3:$AQ$51,5,FALSE)="Core",
                        VLOOKUP(AV$2,'TIS Site Config'!$A$3:$AQ$51,6,FALSE)="Non-Heated"),
                              1,0)</f>
        <v>0</v>
      </c>
      <c r="AW139" s="134">
        <f>IF(
             AND(VLOOKUP(AW$2,'TIS Site Config'!$A$3:$AQ$51,5,FALSE)="Core",
                        VLOOKUP(AW$2,'TIS Site Config'!$A$3:$AQ$51,6,FALSE)="Non-Heated"),
                              1,0)</f>
        <v>0</v>
      </c>
      <c r="AX139" s="212">
        <f>IF(
             AND(VLOOKUP(AX$2,'TIS Site Config'!$A$3:$AQ$51,5,FALSE)="Core",
                        VLOOKUP(AX$2,'TIS Site Config'!$A$3:$AQ$51,6,FALSE)="Non-Heated"),
                              1,0)</f>
        <v>0</v>
      </c>
      <c r="AY139" s="134">
        <f>IF(
             AND(VLOOKUP(AY$2,'TIS Site Config'!$A$3:$AQ$51,5,FALSE)="Core",
                        VLOOKUP(AY$2,'TIS Site Config'!$A$3:$AQ$51,6,FALSE)="Non-Heated"),
                              1,0)</f>
        <v>0</v>
      </c>
      <c r="AZ139" s="309">
        <f>IF(
             AND(VLOOKUP(AZ$2,'TIS Site Config'!$A$3:$AQ$51,5,FALSE)="Core",
                        VLOOKUP(AZ$2,'TIS Site Config'!$A$3:$AQ$51,6,FALSE)="Non-Heated"),
                              1,0)</f>
        <v>0</v>
      </c>
      <c r="BA139" s="213">
        <f>IF(
             AND(VLOOKUP(BA$2,'TIS Site Config'!$A$3:$AQ$51,5,FALSE)="Core",
                        VLOOKUP(BA$2,'TIS Site Config'!$A$3:$AQ$51,6,FALSE)="Non-Heated"),
                              1,0)</f>
        <v>0</v>
      </c>
      <c r="BB139" s="134">
        <f>IF(
             AND(VLOOKUP(BB$2,'TIS Site Config'!$A$3:$AQ$51,5,FALSE)="Core",
                        VLOOKUP(BB$2,'TIS Site Config'!$A$3:$AQ$51,6,FALSE)="Non-Heated"),
                              1,0)</f>
        <v>0</v>
      </c>
      <c r="BC139" s="212">
        <f>IF(
             AND(VLOOKUP(BC$2,'TIS Site Config'!$A$3:$AQ$51,5,FALSE)="Core",
                        VLOOKUP(BC$2,'TIS Site Config'!$A$3:$AQ$51,6,FALSE)="Non-Heated"),
                              1,0)</f>
        <v>0</v>
      </c>
      <c r="BD139" s="134">
        <f>IF(
             AND(VLOOKUP(BD$2,'TIS Site Config'!$A$3:$AQ$51,5,FALSE)="Core",
                        VLOOKUP(BD$2,'TIS Site Config'!$A$3:$AQ$51,6,FALSE)="Non-Heated"),
                              1,0)</f>
        <v>0</v>
      </c>
      <c r="BE139" s="309">
        <f>IF(
             AND(VLOOKUP(BE$2,'TIS Site Config'!$A$3:$AQ$51,5,FALSE)="Core",
                        VLOOKUP(BE$2,'TIS Site Config'!$A$3:$AQ$51,6,FALSE)="Non-Heated"),
                              1,0)</f>
        <v>0</v>
      </c>
      <c r="BF139" s="212">
        <f>IF(
             AND(VLOOKUP(BF$2,'TIS Site Config'!$A$3:$AQ$51,5,FALSE)="Core",
                        VLOOKUP(BF$2,'TIS Site Config'!$A$3:$AQ$51,6,FALSE)="Non-Heated"),
                              1,0)</f>
        <v>0</v>
      </c>
      <c r="BG139" s="60">
        <f>IF(
             AND(VLOOKUP(BG$2,'TIS Site Config'!$A$3:$AQ$51,5,FALSE)="Core",
                        VLOOKUP(BG$2,'TIS Site Config'!$A$3:$AQ$51,6,FALSE)="Non-Heated"),
                              1,0)</f>
        <v>1</v>
      </c>
      <c r="BH139" s="60">
        <f>IF(
             AND(VLOOKUP(BH$2,'TIS Site Config'!$A$3:$AQ$51,5,FALSE)="Core",
                        VLOOKUP(BH$2,'TIS Site Config'!$A$3:$AQ$51,6,FALSE)="Non-Heated"),
                              1,0)</f>
        <v>0</v>
      </c>
      <c r="BK139" s="3">
        <v>5</v>
      </c>
      <c r="BL139" s="950" t="b">
        <f t="shared" si="13"/>
        <v>1</v>
      </c>
      <c r="BO139" s="950"/>
    </row>
    <row r="140" spans="1:67" s="10" customFormat="1" ht="15.75" thickBot="1" x14ac:dyDescent="0.3">
      <c r="A140" s="1356"/>
      <c r="B140" s="1261"/>
      <c r="C140" s="61" t="s">
        <v>556</v>
      </c>
      <c r="D140" s="91">
        <v>3</v>
      </c>
      <c r="E140" s="85" t="s">
        <v>554</v>
      </c>
      <c r="F140" s="62">
        <f t="shared" si="12"/>
        <v>15</v>
      </c>
      <c r="G140" s="450"/>
      <c r="H140" s="451">
        <v>1</v>
      </c>
      <c r="I140" s="451"/>
      <c r="J140" s="451"/>
      <c r="K140" s="452"/>
      <c r="L140" s="491"/>
      <c r="M140" s="136">
        <f>IF(
             AND(VLOOKUP(M$2,'TIS Site Config'!$A$3:$AQ$51,5,FALSE)="Core",
                        OR(VLOOKUP(M$2,'TIS Site Config'!$A$3:$AQ$51,6,FALSE)="Heated",
                                VLOOKUP(M$2,'TIS Site Config'!$A$3:$AQ$51,6,FALSE)="Extreme Heated")),
                              1,0)</f>
        <v>1</v>
      </c>
      <c r="N140" s="222">
        <f>IF(
             AND(VLOOKUP(N$2,'TIS Site Config'!$A$3:$AQ$51,5,FALSE)="Core",
                        OR(VLOOKUP(N$2,'TIS Site Config'!$A$3:$AQ$51,6,FALSE)="Heated",
                                VLOOKUP(N$2,'TIS Site Config'!$A$3:$AQ$51,6,FALSE)="Extreme Heated")),
                              1,0)</f>
        <v>0</v>
      </c>
      <c r="O140" s="225">
        <f>IF(
             AND(VLOOKUP(O$2,'TIS Site Config'!$A$3:$AQ$51,5,FALSE)="Core",
                        OR(VLOOKUP(O$2,'TIS Site Config'!$A$3:$AQ$51,6,FALSE)="Heated",
                                VLOOKUP(O$2,'TIS Site Config'!$A$3:$AQ$51,6,FALSE)="Extreme Heated")),
                              1,0)</f>
        <v>1</v>
      </c>
      <c r="P140" s="21">
        <f>IF(
             AND(VLOOKUP(P$2,'TIS Site Config'!$A$3:$AQ$51,5,FALSE)="Core",
                        OR(VLOOKUP(P$2,'TIS Site Config'!$A$3:$AQ$51,6,FALSE)="Heated",
                                VLOOKUP(P$2,'TIS Site Config'!$A$3:$AQ$51,6,FALSE)="Extreme Heated")),
                              1,0)</f>
        <v>0</v>
      </c>
      <c r="Q140" s="222">
        <f>IF(
             AND(VLOOKUP(Q$2,'TIS Site Config'!$A$3:$AQ$51,5,FALSE)="Core",
                        OR(VLOOKUP(Q$2,'TIS Site Config'!$A$3:$AQ$51,6,FALSE)="Heated",
                                VLOOKUP(Q$2,'TIS Site Config'!$A$3:$AQ$51,6,FALSE)="Extreme Heated")),
                              1,0)</f>
        <v>0</v>
      </c>
      <c r="R140" s="136">
        <f>IF(
             AND(VLOOKUP(R$2,'TIS Site Config'!$A$3:$AQ$51,5,FALSE)="Core",
                        OR(VLOOKUP(R$2,'TIS Site Config'!$A$3:$AQ$51,6,FALSE)="Heated",
                                VLOOKUP(R$2,'TIS Site Config'!$A$3:$AQ$51,6,FALSE)="Extreme Heated")),
                              1,0)</f>
        <v>0</v>
      </c>
      <c r="S140" s="21">
        <f>IF(
             AND(VLOOKUP(S$2,'TIS Site Config'!$A$3:$AQ$51,5,FALSE)="Core",
                        OR(VLOOKUP(S$2,'TIS Site Config'!$A$3:$AQ$51,6,FALSE)="Heated",
                                VLOOKUP(S$2,'TIS Site Config'!$A$3:$AQ$51,6,FALSE)="Extreme Heated")),
                              1,0)</f>
        <v>0</v>
      </c>
      <c r="T140" s="222">
        <f>IF(
             AND(VLOOKUP(T$2,'TIS Site Config'!$A$3:$AQ$51,5,FALSE)="Core",
                        OR(VLOOKUP(T$2,'TIS Site Config'!$A$3:$AQ$51,6,FALSE)="Heated",
                                VLOOKUP(T$2,'TIS Site Config'!$A$3:$AQ$51,6,FALSE)="Extreme Heated")),
                              1,0)</f>
        <v>0</v>
      </c>
      <c r="U140" s="136">
        <f>IF(
             AND(VLOOKUP(U$2,'TIS Site Config'!$A$3:$AQ$51,5,FALSE)="Core",
                        OR(VLOOKUP(U$2,'TIS Site Config'!$A$3:$AQ$51,6,FALSE)="Heated",
                                VLOOKUP(U$2,'TIS Site Config'!$A$3:$AQ$51,6,FALSE)="Extreme Heated")),
                              1,0)</f>
        <v>0</v>
      </c>
      <c r="V140" s="222">
        <f>IF(
             AND(VLOOKUP(V$2,'TIS Site Config'!$A$3:$AQ$51,5,FALSE)="Core",
                        OR(VLOOKUP(V$2,'TIS Site Config'!$A$3:$AQ$51,6,FALSE)="Heated",
                                VLOOKUP(V$2,'TIS Site Config'!$A$3:$AQ$51,6,FALSE)="Extreme Heated")),
                              1,0)</f>
        <v>0</v>
      </c>
      <c r="W140" s="224">
        <f>IF(
             AND(VLOOKUP(W$2,'TIS Site Config'!$A$3:$AQ$51,5,FALSE)="Core",
                        OR(VLOOKUP(W$2,'TIS Site Config'!$A$3:$AQ$51,6,FALSE)="Heated",
                                VLOOKUP(W$2,'TIS Site Config'!$A$3:$AQ$51,6,FALSE)="Extreme Heated")),
                              1,0)</f>
        <v>1</v>
      </c>
      <c r="X140" s="21">
        <f>IF(
             AND(VLOOKUP(X$2,'TIS Site Config'!$A$3:$AQ$51,5,FALSE)="Core",
                        OR(VLOOKUP(X$2,'TIS Site Config'!$A$3:$AQ$51,6,FALSE)="Heated",
                                VLOOKUP(X$2,'TIS Site Config'!$A$3:$AQ$51,6,FALSE)="Extreme Heated")),
                              1,0)</f>
        <v>0</v>
      </c>
      <c r="Y140" s="222">
        <f>IF(
             AND(VLOOKUP(Y$2,'TIS Site Config'!$A$3:$AQ$51,5,FALSE)="Core",
                        OR(VLOOKUP(Y$2,'TIS Site Config'!$A$3:$AQ$51,6,FALSE)="Heated",
                                VLOOKUP(Y$2,'TIS Site Config'!$A$3:$AQ$51,6,FALSE)="Extreme Heated")),
                              1,0)</f>
        <v>0</v>
      </c>
      <c r="Z140" s="136">
        <f>IF(
             AND(VLOOKUP(Z$2,'TIS Site Config'!$A$3:$AQ$51,5,FALSE)="Core",
                        OR(VLOOKUP(Z$2,'TIS Site Config'!$A$3:$AQ$51,6,FALSE)="Heated",
                                VLOOKUP(Z$2,'TIS Site Config'!$A$3:$AQ$51,6,FALSE)="Extreme Heated")),
                              1,0)</f>
        <v>1</v>
      </c>
      <c r="AA140" s="21">
        <f>IF(
             AND(VLOOKUP(AA$2,'TIS Site Config'!$A$3:$AQ$51,5,FALSE)="Core",
                        OR(VLOOKUP(AA$2,'TIS Site Config'!$A$3:$AQ$51,6,FALSE)="Heated",
                                VLOOKUP(AA$2,'TIS Site Config'!$A$3:$AQ$51,6,FALSE)="Extreme Heated")),
                              1,0)</f>
        <v>0</v>
      </c>
      <c r="AB140" s="222">
        <f>IF(
             AND(VLOOKUP(AB$2,'TIS Site Config'!$A$3:$AQ$51,5,FALSE)="Core",
                        OR(VLOOKUP(AB$2,'TIS Site Config'!$A$3:$AQ$51,6,FALSE)="Heated",
                                VLOOKUP(AB$2,'TIS Site Config'!$A$3:$AQ$51,6,FALSE)="Extreme Heated")),
                              1,0)</f>
        <v>0</v>
      </c>
      <c r="AC140" s="21">
        <f>IF(
             AND(VLOOKUP(AC$2,'TIS Site Config'!$A$3:$AQ$51,5,FALSE)="Core",
                        OR(VLOOKUP(AC$2,'TIS Site Config'!$A$3:$AQ$51,6,FALSE)="Heated",
                                VLOOKUP(AC$2,'TIS Site Config'!$A$3:$AQ$51,6,FALSE)="Extreme Heated")),
                              1,0)</f>
        <v>1</v>
      </c>
      <c r="AD140" s="223">
        <f>IF(
             AND(VLOOKUP(AD$2,'TIS Site Config'!$A$3:$AQ$51,5,FALSE)="Core",
                        OR(VLOOKUP(AD$2,'TIS Site Config'!$A$3:$AQ$51,6,FALSE)="Heated",
                                VLOOKUP(AD$2,'TIS Site Config'!$A$3:$AQ$51,6,FALSE)="Extreme Heated")),
                              1,0)</f>
        <v>0</v>
      </c>
      <c r="AE140" s="223">
        <f>IF(
             AND(VLOOKUP(AE$2,'TIS Site Config'!$A$3:$AQ$51,5,FALSE)="Core",
                        OR(VLOOKUP(AE$2,'TIS Site Config'!$A$3:$AQ$51,6,FALSE)="Heated",
                                VLOOKUP(AE$2,'TIS Site Config'!$A$3:$AQ$51,6,FALSE)="Extreme Heated")),
                              1,0)</f>
        <v>0</v>
      </c>
      <c r="AF140" s="16">
        <f>IF(
             AND(VLOOKUP(AF$2,'TIS Site Config'!$A$3:$AQ$51,5,FALSE)="Core",
                        OR(VLOOKUP(AF$2,'TIS Site Config'!$A$3:$AQ$51,6,FALSE)="Heated",
                                VLOOKUP(AF$2,'TIS Site Config'!$A$3:$AQ$51,6,FALSE)="Extreme Heated")),
                              1,0)</f>
        <v>0</v>
      </c>
      <c r="AG140" s="21">
        <f>IF(
             AND(VLOOKUP(AG$2,'TIS Site Config'!$A$3:$AQ$51,5,FALSE)="Core",
                        OR(VLOOKUP(AG$2,'TIS Site Config'!$A$3:$AQ$51,6,FALSE)="Heated",
                                VLOOKUP(AG$2,'TIS Site Config'!$A$3:$AQ$51,6,FALSE)="Extreme Heated")),
                              1,0)</f>
        <v>0</v>
      </c>
      <c r="AH140" s="222">
        <f>IF(
             AND(VLOOKUP(AH$2,'TIS Site Config'!$A$3:$AQ$51,5,FALSE)="Core",
                        OR(VLOOKUP(AH$2,'TIS Site Config'!$A$3:$AQ$51,6,FALSE)="Heated",
                                VLOOKUP(AH$2,'TIS Site Config'!$A$3:$AQ$51,6,FALSE)="Extreme Heated")),
                              1,0)</f>
        <v>0</v>
      </c>
      <c r="AI140" s="136">
        <f>IF(
             AND(VLOOKUP(AI$2,'TIS Site Config'!$A$3:$AQ$51,5,FALSE)="Core",
                        OR(VLOOKUP(AI$2,'TIS Site Config'!$A$3:$AQ$51,6,FALSE)="Heated",
                                VLOOKUP(AI$2,'TIS Site Config'!$A$3:$AQ$51,6,FALSE)="Extreme Heated")),
                              1,0)</f>
        <v>1</v>
      </c>
      <c r="AJ140" s="21">
        <f>IF(
             AND(VLOOKUP(AJ$2,'TIS Site Config'!$A$3:$AQ$51,5,FALSE)="Core",
                        OR(VLOOKUP(AJ$2,'TIS Site Config'!$A$3:$AQ$51,6,FALSE)="Heated",
                                VLOOKUP(AJ$2,'TIS Site Config'!$A$3:$AQ$51,6,FALSE)="Extreme Heated")),
                              1,0)</f>
        <v>0</v>
      </c>
      <c r="AK140" s="222">
        <f>IF(
             AND(VLOOKUP(AK$2,'TIS Site Config'!$A$3:$AQ$51,5,FALSE)="Core",
                        OR(VLOOKUP(AK$2,'TIS Site Config'!$A$3:$AQ$51,6,FALSE)="Heated",
                                VLOOKUP(AK$2,'TIS Site Config'!$A$3:$AQ$51,6,FALSE)="Extreme Heated")),
                              1,0)</f>
        <v>0</v>
      </c>
      <c r="AL140" s="1009">
        <f>IF(
             AND(VLOOKUP(AL$2,'TIS Site Config'!$A$3:$AQ$51,5,FALSE)="Core",
                        OR(VLOOKUP(AL$2,'TIS Site Config'!$A$3:$AQ$51,6,FALSE)="Heated",
                                VLOOKUP(AL$2,'TIS Site Config'!$A$3:$AQ$51,6,FALSE)="Extreme Heated")),
                              1,0)</f>
        <v>1</v>
      </c>
      <c r="AM140" s="21">
        <f>IF(
             AND(VLOOKUP(AM$2,'TIS Site Config'!$A$3:$AQ$51,5,FALSE)="Core",
                        OR(VLOOKUP(AM$2,'TIS Site Config'!$A$3:$AQ$51,6,FALSE)="Heated",
                                VLOOKUP(AM$2,'TIS Site Config'!$A$3:$AQ$51,6,FALSE)="Extreme Heated")),
                              1,0)</f>
        <v>0</v>
      </c>
      <c r="AN140" s="222">
        <f>IF(
             AND(VLOOKUP(AN$2,'TIS Site Config'!$A$3:$AQ$51,5,FALSE)="Core",
                        OR(VLOOKUP(AN$2,'TIS Site Config'!$A$3:$AQ$51,6,FALSE)="Heated",
                                VLOOKUP(AN$2,'TIS Site Config'!$A$3:$AQ$51,6,FALSE)="Extreme Heated")),
                              1,0)</f>
        <v>0</v>
      </c>
      <c r="AO140" s="136">
        <f>IF(
             AND(VLOOKUP(AO$2,'TIS Site Config'!$A$3:$AQ$51,5,FALSE)="Core",
                        OR(VLOOKUP(AO$2,'TIS Site Config'!$A$3:$AQ$51,6,FALSE)="Heated",
                                VLOOKUP(AO$2,'TIS Site Config'!$A$3:$AQ$51,6,FALSE)="Extreme Heated")),
                              1,0)</f>
        <v>1</v>
      </c>
      <c r="AP140" s="21">
        <f>IF(
             AND(VLOOKUP(AP$2,'TIS Site Config'!$A$3:$AQ$51,5,FALSE)="Core",
                        OR(VLOOKUP(AP$2,'TIS Site Config'!$A$3:$AQ$51,6,FALSE)="Heated",
                                VLOOKUP(AP$2,'TIS Site Config'!$A$3:$AQ$51,6,FALSE)="Extreme Heated")),
                              1,0)</f>
        <v>0</v>
      </c>
      <c r="AQ140" s="136">
        <f>IF(
             AND(VLOOKUP(AQ$2,'TIS Site Config'!$A$3:$AQ$51,5,FALSE)="Core",
                        OR(VLOOKUP(AQ$2,'TIS Site Config'!$A$3:$AQ$51,6,FALSE)="Heated",
                                VLOOKUP(AQ$2,'TIS Site Config'!$A$3:$AQ$51,6,FALSE)="Extreme Heated")),
                              1,0)</f>
        <v>1</v>
      </c>
      <c r="AR140" s="136">
        <f>IF(
             AND(VLOOKUP(AR$2,'TIS Site Config'!$A$3:$AQ$51,5,FALSE)="Core",
                        OR(VLOOKUP(AR$2,'TIS Site Config'!$A$3:$AQ$51,6,FALSE)="Heated",
                                VLOOKUP(AR$2,'TIS Site Config'!$A$3:$AQ$51,6,FALSE)="Extreme Heated")),
                              1,0)</f>
        <v>1</v>
      </c>
      <c r="AS140" s="21">
        <f>IF(
             AND(VLOOKUP(AS$2,'TIS Site Config'!$A$3:$AQ$51,5,FALSE)="Core",
                        OR(VLOOKUP(AS$2,'TIS Site Config'!$A$3:$AQ$51,6,FALSE)="Heated",
                                VLOOKUP(AS$2,'TIS Site Config'!$A$3:$AQ$51,6,FALSE)="Extreme Heated")),
                              1,0)</f>
        <v>0</v>
      </c>
      <c r="AT140" s="136">
        <f>IF(
             AND(VLOOKUP(AT$2,'TIS Site Config'!$A$3:$AQ$51,5,FALSE)="Core",
                        OR(VLOOKUP(AT$2,'TIS Site Config'!$A$3:$AQ$51,6,FALSE)="Heated",
                                VLOOKUP(AT$2,'TIS Site Config'!$A$3:$AQ$51,6,FALSE)="Extreme Heated")),
                              1,0)</f>
        <v>0</v>
      </c>
      <c r="AU140" s="21">
        <f>IF(
             AND(VLOOKUP(AU$2,'TIS Site Config'!$A$3:$AQ$51,5,FALSE)="Core",
                        OR(VLOOKUP(AU$2,'TIS Site Config'!$A$3:$AQ$51,6,FALSE)="Heated",
                                VLOOKUP(AU$2,'TIS Site Config'!$A$3:$AQ$51,6,FALSE)="Extreme Heated")),
                              1,0)</f>
        <v>0</v>
      </c>
      <c r="AV140" s="136">
        <f>IF(
             AND(VLOOKUP(AV$2,'TIS Site Config'!$A$3:$AQ$51,5,FALSE)="Core",
                        OR(VLOOKUP(AV$2,'TIS Site Config'!$A$3:$AQ$51,6,FALSE)="Heated",
                                VLOOKUP(AV$2,'TIS Site Config'!$A$3:$AQ$51,6,FALSE)="Extreme Heated")),
                              1,0)</f>
        <v>1</v>
      </c>
      <c r="AW140" s="136">
        <f>IF(
             AND(VLOOKUP(AW$2,'TIS Site Config'!$A$3:$AQ$51,5,FALSE)="Core",
                        OR(VLOOKUP(AW$2,'TIS Site Config'!$A$3:$AQ$51,6,FALSE)="Heated",
                                VLOOKUP(AW$2,'TIS Site Config'!$A$3:$AQ$51,6,FALSE)="Extreme Heated")),
                              1,0)</f>
        <v>1</v>
      </c>
      <c r="AX140" s="222">
        <f>IF(
             AND(VLOOKUP(AX$2,'TIS Site Config'!$A$3:$AQ$51,5,FALSE)="Core",
                        OR(VLOOKUP(AX$2,'TIS Site Config'!$A$3:$AQ$51,6,FALSE)="Heated",
                                VLOOKUP(AX$2,'TIS Site Config'!$A$3:$AQ$51,6,FALSE)="Extreme Heated")),
                              1,0)</f>
        <v>0</v>
      </c>
      <c r="AY140" s="136">
        <f>IF(
             AND(VLOOKUP(AY$2,'TIS Site Config'!$A$3:$AQ$51,5,FALSE)="Core",
                        OR(VLOOKUP(AY$2,'TIS Site Config'!$A$3:$AQ$51,6,FALSE)="Heated",
                                VLOOKUP(AY$2,'TIS Site Config'!$A$3:$AQ$51,6,FALSE)="Extreme Heated")),
                              1,0)</f>
        <v>1</v>
      </c>
      <c r="AZ140" s="21">
        <f>IF(
             AND(VLOOKUP(AZ$2,'TIS Site Config'!$A$3:$AQ$51,5,FALSE)="Core",
                        OR(VLOOKUP(AZ$2,'TIS Site Config'!$A$3:$AQ$51,6,FALSE)="Heated",
                                VLOOKUP(AZ$2,'TIS Site Config'!$A$3:$AQ$51,6,FALSE)="Extreme Heated")),
                              1,0)</f>
        <v>0</v>
      </c>
      <c r="BA140" s="223">
        <f>IF(
             AND(VLOOKUP(BA$2,'TIS Site Config'!$A$3:$AQ$51,5,FALSE)="Core",
                        OR(VLOOKUP(BA$2,'TIS Site Config'!$A$3:$AQ$51,6,FALSE)="Heated",
                                VLOOKUP(BA$2,'TIS Site Config'!$A$3:$AQ$51,6,FALSE)="Extreme Heated")),
                              1,0)</f>
        <v>0</v>
      </c>
      <c r="BB140" s="136">
        <f>IF(
             AND(VLOOKUP(BB$2,'TIS Site Config'!$A$3:$AQ$51,5,FALSE)="Core",
                        OR(VLOOKUP(BB$2,'TIS Site Config'!$A$3:$AQ$51,6,FALSE)="Heated",
                                VLOOKUP(BB$2,'TIS Site Config'!$A$3:$AQ$51,6,FALSE)="Extreme Heated")),
                              1,0)</f>
        <v>1</v>
      </c>
      <c r="BC140" s="222">
        <f>IF(
             AND(VLOOKUP(BC$2,'TIS Site Config'!$A$3:$AQ$51,5,FALSE)="Core",
                        OR(VLOOKUP(BC$2,'TIS Site Config'!$A$3:$AQ$51,6,FALSE)="Heated",
                                VLOOKUP(BC$2,'TIS Site Config'!$A$3:$AQ$51,6,FALSE)="Extreme Heated")),
                              1,0)</f>
        <v>0</v>
      </c>
      <c r="BD140" s="136">
        <f>IF(
             AND(VLOOKUP(BD$2,'TIS Site Config'!$A$3:$AQ$51,5,FALSE)="Core",
                        OR(VLOOKUP(BD$2,'TIS Site Config'!$A$3:$AQ$51,6,FALSE)="Heated",
                                VLOOKUP(BD$2,'TIS Site Config'!$A$3:$AQ$51,6,FALSE)="Extreme Heated")),
                              1,0)</f>
        <v>1</v>
      </c>
      <c r="BE140" s="21">
        <f>IF(
             AND(VLOOKUP(BE$2,'TIS Site Config'!$A$3:$AQ$51,5,FALSE)="Core",
                        OR(VLOOKUP(BE$2,'TIS Site Config'!$A$3:$AQ$51,6,FALSE)="Heated",
                                VLOOKUP(BE$2,'TIS Site Config'!$A$3:$AQ$51,6,FALSE)="Extreme Heated")),
                              1,0)</f>
        <v>0</v>
      </c>
      <c r="BF140" s="222">
        <f>IF(
             AND(VLOOKUP(BF$2,'TIS Site Config'!$A$3:$AQ$51,5,FALSE)="Core",
                        OR(VLOOKUP(BF$2,'TIS Site Config'!$A$3:$AQ$51,6,FALSE)="Heated",
                                VLOOKUP(BF$2,'TIS Site Config'!$A$3:$AQ$51,6,FALSE)="Extreme Heated")),
                              1,0)</f>
        <v>0</v>
      </c>
      <c r="BG140" s="62">
        <f>IF(
             AND(VLOOKUP(BG$2,'TIS Site Config'!$A$3:$AQ$51,5,FALSE)="Core",
                        OR(VLOOKUP(BG$2,'TIS Site Config'!$A$3:$AQ$51,6,FALSE)="Heated",
                                VLOOKUP(BG$2,'TIS Site Config'!$A$3:$AQ$51,6,FALSE)="Extreme Heated")),
                              1,0)</f>
        <v>0</v>
      </c>
      <c r="BH140" s="62">
        <f>IF(
             AND(VLOOKUP(BH$2,'TIS Site Config'!$A$3:$AQ$51,5,FALSE)="Core",
                        OR(VLOOKUP(BH$2,'TIS Site Config'!$A$3:$AQ$51,6,FALSE)="Heated",
                                VLOOKUP(BH$2,'TIS Site Config'!$A$3:$AQ$51,6,FALSE)="Extreme Heated")),
                              1,0)</f>
        <v>1</v>
      </c>
      <c r="BK140" s="10">
        <v>15</v>
      </c>
      <c r="BL140" s="950" t="b">
        <f t="shared" si="13"/>
        <v>1</v>
      </c>
      <c r="BO140" s="950"/>
    </row>
    <row r="141" spans="1:67" x14ac:dyDescent="0.25">
      <c r="A141" s="1376" t="s">
        <v>93</v>
      </c>
      <c r="B141" s="1349" t="s">
        <v>546</v>
      </c>
      <c r="C141" s="66" t="s">
        <v>537</v>
      </c>
      <c r="D141" s="89">
        <v>3</v>
      </c>
      <c r="E141" s="112" t="s">
        <v>540</v>
      </c>
      <c r="F141" s="203">
        <f t="shared" si="12"/>
        <v>26</v>
      </c>
      <c r="G141" s="467"/>
      <c r="H141" s="468"/>
      <c r="I141" s="468">
        <v>1</v>
      </c>
      <c r="J141" s="468"/>
      <c r="K141" s="469">
        <v>5</v>
      </c>
      <c r="L141" s="497"/>
      <c r="M141" s="132">
        <f>IF(
             VLOOKUP(M$2,'TIS Site Config'!$A$3:$AQ$51,35,FALSE)="No",
                              1,0)</f>
        <v>0</v>
      </c>
      <c r="N141" s="201">
        <f>IF(
             VLOOKUP(N$2,'TIS Site Config'!$A$3:$AQ$51,35,FALSE)="No",
                              1,0)</f>
        <v>1</v>
      </c>
      <c r="O141" s="205">
        <f>IF(
             VLOOKUP(O$2,'TIS Site Config'!$A$3:$AQ$51,35,FALSE)="No",
                              1,0)</f>
        <v>0</v>
      </c>
      <c r="P141" s="41">
        <f>IF(
             VLOOKUP(P$2,'TIS Site Config'!$A$3:$AQ$51,35,FALSE)="No",
                              1,0)</f>
        <v>1</v>
      </c>
      <c r="Q141" s="201">
        <f>IF(
             VLOOKUP(Q$2,'TIS Site Config'!$A$3:$AQ$51,35,FALSE)="No",
                              1,0)</f>
        <v>1</v>
      </c>
      <c r="R141" s="132">
        <f>IF(
             VLOOKUP(R$2,'TIS Site Config'!$A$3:$AQ$51,35,FALSE)="No",
                              1,0)</f>
        <v>0</v>
      </c>
      <c r="S141" s="41">
        <f>IF(
             VLOOKUP(S$2,'TIS Site Config'!$A$3:$AQ$51,35,FALSE)="No",
                              1,0)</f>
        <v>1</v>
      </c>
      <c r="T141" s="201">
        <f>IF(
             VLOOKUP(T$2,'TIS Site Config'!$A$3:$AQ$51,35,FALSE)="No",
                              1,0)</f>
        <v>1</v>
      </c>
      <c r="U141" s="132">
        <f>IF(
             VLOOKUP(U$2,'TIS Site Config'!$A$3:$AQ$51,35,FALSE)="No",
                              1,0)</f>
        <v>0</v>
      </c>
      <c r="V141" s="201">
        <f>IF(
             VLOOKUP(V$2,'TIS Site Config'!$A$3:$AQ$51,35,FALSE)="No",
                              1,0)</f>
        <v>1</v>
      </c>
      <c r="W141" s="204">
        <f>IF(
             VLOOKUP(W$2,'TIS Site Config'!$A$3:$AQ$51,35,FALSE)="No",
                              1,0)</f>
        <v>0</v>
      </c>
      <c r="X141" s="41">
        <f>IF(
             VLOOKUP(X$2,'TIS Site Config'!$A$3:$AQ$51,35,FALSE)="No",
                              1,0)</f>
        <v>1</v>
      </c>
      <c r="Y141" s="201">
        <f>IF(
             VLOOKUP(Y$2,'TIS Site Config'!$A$3:$AQ$51,35,FALSE)="No",
                              1,0)</f>
        <v>1</v>
      </c>
      <c r="Z141" s="132">
        <f>IF(
             VLOOKUP(Z$2,'TIS Site Config'!$A$3:$AQ$51,35,FALSE)="No",
                              1,0)</f>
        <v>0</v>
      </c>
      <c r="AA141" s="41">
        <f>IF(
             VLOOKUP(AA$2,'TIS Site Config'!$A$3:$AQ$51,35,FALSE)="No",
                              1,0)</f>
        <v>1</v>
      </c>
      <c r="AB141" s="201">
        <f>IF(
             VLOOKUP(AB$2,'TIS Site Config'!$A$3:$AQ$51,35,FALSE)="No",
                              1,0)</f>
        <v>1</v>
      </c>
      <c r="AC141" s="41">
        <f>IF(
             VLOOKUP(AC$2,'TIS Site Config'!$A$3:$AQ$51,35,FALSE)="No",
                              1,0)</f>
        <v>0</v>
      </c>
      <c r="AD141" s="202">
        <f>IF(
             VLOOKUP(AD$2,'TIS Site Config'!$A$3:$AQ$51,35,FALSE)="No",
                              1,0)</f>
        <v>1</v>
      </c>
      <c r="AE141" s="202">
        <f>IF(
             VLOOKUP(AE$2,'TIS Site Config'!$A$3:$AQ$51,35,FALSE)="No",
                              1,0)</f>
        <v>1</v>
      </c>
      <c r="AF141" s="40">
        <f>IF(
             VLOOKUP(AF$2,'TIS Site Config'!$A$3:$AQ$51,35,FALSE)="No",
                              1,0)</f>
        <v>0</v>
      </c>
      <c r="AG141" s="41">
        <f>IF(
             VLOOKUP(AG$2,'TIS Site Config'!$A$3:$AQ$51,35,FALSE)="No",
                              1,0)</f>
        <v>1</v>
      </c>
      <c r="AH141" s="201">
        <f>IF(
             VLOOKUP(AH$2,'TIS Site Config'!$A$3:$AQ$51,35,FALSE)="No",
                              1,0)</f>
        <v>1</v>
      </c>
      <c r="AI141" s="132">
        <f>IF(
             VLOOKUP(AI$2,'TIS Site Config'!$A$3:$AQ$51,35,FALSE)="No",
                              1,0)</f>
        <v>0</v>
      </c>
      <c r="AJ141" s="41">
        <f>IF(
             VLOOKUP(AJ$2,'TIS Site Config'!$A$3:$AQ$51,35,FALSE)="No",
                              1,0)</f>
        <v>1</v>
      </c>
      <c r="AK141" s="201">
        <f>IF(
             VLOOKUP(AK$2,'TIS Site Config'!$A$3:$AQ$51,35,FALSE)="No",
                              1,0)</f>
        <v>1</v>
      </c>
      <c r="AL141" s="132">
        <f>IF(
             VLOOKUP(AL$2,'TIS Site Config'!$A$3:$AQ$51,35,FALSE)="No",
                              1,0)</f>
        <v>0</v>
      </c>
      <c r="AM141" s="41">
        <f>IF(
             VLOOKUP(AM$2,'TIS Site Config'!$A$3:$AQ$51,35,FALSE)="No",
                              1,0)</f>
        <v>1</v>
      </c>
      <c r="AN141" s="201">
        <f>IF(
             VLOOKUP(AN$2,'TIS Site Config'!$A$3:$AQ$51,35,FALSE)="No",
                              1,0)</f>
        <v>1</v>
      </c>
      <c r="AO141" s="132">
        <f>IF(
             VLOOKUP(AO$2,'TIS Site Config'!$A$3:$AQ$51,35,FALSE)="No",
                              1,0)</f>
        <v>0</v>
      </c>
      <c r="AP141" s="41">
        <f>IF(
             VLOOKUP(AP$2,'TIS Site Config'!$A$3:$AQ$51,35,FALSE)="No",
                              1,0)</f>
        <v>1</v>
      </c>
      <c r="AQ141" s="132">
        <f>IF(
             VLOOKUP(AQ$2,'TIS Site Config'!$A$3:$AQ$51,35,FALSE)="No",
                              1,0)</f>
        <v>0</v>
      </c>
      <c r="AR141" s="132">
        <f>IF(
             VLOOKUP(AR$2,'TIS Site Config'!$A$3:$AQ$51,35,FALSE)="No",
                              1,0)</f>
        <v>0</v>
      </c>
      <c r="AS141" s="41">
        <f>IF(
             VLOOKUP(AS$2,'TIS Site Config'!$A$3:$AQ$51,35,FALSE)="No",
                              1,0)</f>
        <v>1</v>
      </c>
      <c r="AT141" s="132">
        <f>IF(
             VLOOKUP(AT$2,'TIS Site Config'!$A$3:$AQ$51,35,FALSE)="No",
                              1,0)</f>
        <v>0</v>
      </c>
      <c r="AU141" s="41">
        <f>IF(
             VLOOKUP(AU$2,'TIS Site Config'!$A$3:$AQ$51,35,FALSE)="No",
                              1,0)</f>
        <v>1</v>
      </c>
      <c r="AV141" s="132">
        <f>IF(
             VLOOKUP(AV$2,'TIS Site Config'!$A$3:$AQ$51,35,FALSE)="No",
                              1,0)</f>
        <v>0</v>
      </c>
      <c r="AW141" s="132">
        <f>IF(
             VLOOKUP(AW$2,'TIS Site Config'!$A$3:$AQ$51,35,FALSE)="No",
                              1,0)</f>
        <v>0</v>
      </c>
      <c r="AX141" s="201">
        <f>IF(
             VLOOKUP(AX$2,'TIS Site Config'!$A$3:$AQ$51,35,FALSE)="No",
                              1,0)</f>
        <v>1</v>
      </c>
      <c r="AY141" s="132">
        <f>IF(
             VLOOKUP(AY$2,'TIS Site Config'!$A$3:$AQ$51,35,FALSE)="No",
                              1,0)</f>
        <v>0</v>
      </c>
      <c r="AZ141" s="41">
        <f>IF(
             VLOOKUP(AZ$2,'TIS Site Config'!$A$3:$AQ$51,35,FALSE)="No",
                              1,0)</f>
        <v>1</v>
      </c>
      <c r="BA141" s="202">
        <f>IF(
             VLOOKUP(BA$2,'TIS Site Config'!$A$3:$AQ$51,35,FALSE)="No",
                              1,0)</f>
        <v>1</v>
      </c>
      <c r="BB141" s="132">
        <f>IF(
             VLOOKUP(BB$2,'TIS Site Config'!$A$3:$AQ$51,35,FALSE)="No",
                              1,0)</f>
        <v>0</v>
      </c>
      <c r="BC141" s="201">
        <f>IF(
             VLOOKUP(BC$2,'TIS Site Config'!$A$3:$AQ$51,35,FALSE)="No",
                              1,0)</f>
        <v>0</v>
      </c>
      <c r="BD141" s="132">
        <f>IF(
             VLOOKUP(BD$2,'TIS Site Config'!$A$3:$AQ$51,35,FALSE)="No",
                              1,0)</f>
        <v>0</v>
      </c>
      <c r="BE141" s="41">
        <f>IF(
             VLOOKUP(BE$2,'TIS Site Config'!$A$3:$AQ$51,35,FALSE)="No",
                              1,0)</f>
        <v>1</v>
      </c>
      <c r="BF141" s="201">
        <f>IF(
             VLOOKUP(BF$2,'TIS Site Config'!$A$3:$AQ$51,35,FALSE)="No",
                              1,0)</f>
        <v>1</v>
      </c>
      <c r="BG141" s="203">
        <f>IF(
             VLOOKUP(BG$2,'TIS Site Config'!$A$3:$AQ$51,35,FALSE)="No",
                              1,0)</f>
        <v>0</v>
      </c>
      <c r="BH141" s="203">
        <f>IF(
             VLOOKUP(BH$2,'TIS Site Config'!$A$3:$AQ$51,35,FALSE)="No",
                              1,0)</f>
        <v>0</v>
      </c>
      <c r="BK141" s="3">
        <v>39</v>
      </c>
      <c r="BL141" s="950" t="b">
        <f t="shared" si="13"/>
        <v>0</v>
      </c>
      <c r="BO141" s="950"/>
    </row>
    <row r="142" spans="1:67" s="10" customFormat="1" x14ac:dyDescent="0.25">
      <c r="A142" s="1330"/>
      <c r="B142" s="1261"/>
      <c r="C142" s="57" t="s">
        <v>561</v>
      </c>
      <c r="D142" s="90">
        <v>3</v>
      </c>
      <c r="E142" s="84" t="s">
        <v>541</v>
      </c>
      <c r="F142" s="60">
        <f t="shared" si="12"/>
        <v>21</v>
      </c>
      <c r="G142" s="459"/>
      <c r="H142" s="460"/>
      <c r="I142" s="460"/>
      <c r="J142" s="460"/>
      <c r="K142" s="461">
        <v>1</v>
      </c>
      <c r="L142" s="494"/>
      <c r="M142" s="134">
        <f>IF(
             VLOOKUP(M$2,'TIS Site Config'!$A$3:$AQ$51,35,FALSE)="Yes",
                              1,0)</f>
        <v>1</v>
      </c>
      <c r="N142" s="212">
        <f>IF(
             VLOOKUP(N$2,'TIS Site Config'!$A$3:$AQ$51,35,FALSE)="Yes",
                              1,0)</f>
        <v>0</v>
      </c>
      <c r="O142" s="215">
        <f>IF(
             VLOOKUP(O$2,'TIS Site Config'!$A$3:$AQ$51,35,FALSE)="Yes",
                              1,0)</f>
        <v>1</v>
      </c>
      <c r="P142" s="309">
        <f>IF(
             VLOOKUP(P$2,'TIS Site Config'!$A$3:$AQ$51,35,FALSE)="Yes",
                              1,0)</f>
        <v>0</v>
      </c>
      <c r="Q142" s="212">
        <f>IF(
             VLOOKUP(Q$2,'TIS Site Config'!$A$3:$AQ$51,35,FALSE)="Yes",
                              1,0)</f>
        <v>0</v>
      </c>
      <c r="R142" s="134">
        <f>IF(
             VLOOKUP(R$2,'TIS Site Config'!$A$3:$AQ$51,35,FALSE)="Yes",
                              1,0)</f>
        <v>1</v>
      </c>
      <c r="S142" s="309">
        <f>IF(
             VLOOKUP(S$2,'TIS Site Config'!$A$3:$AQ$51,35,FALSE)="Yes",
                              1,0)</f>
        <v>0</v>
      </c>
      <c r="T142" s="212">
        <f>IF(
             VLOOKUP(T$2,'TIS Site Config'!$A$3:$AQ$51,35,FALSE)="Yes",
                              1,0)</f>
        <v>0</v>
      </c>
      <c r="U142" s="134">
        <f>IF(
             VLOOKUP(U$2,'TIS Site Config'!$A$3:$AQ$51,35,FALSE)="Yes",
                              1,0)</f>
        <v>1</v>
      </c>
      <c r="V142" s="212">
        <f>IF(
             VLOOKUP(V$2,'TIS Site Config'!$A$3:$AQ$51,35,FALSE)="Yes",
                              1,0)</f>
        <v>0</v>
      </c>
      <c r="W142" s="214">
        <f>IF(
             VLOOKUP(W$2,'TIS Site Config'!$A$3:$AQ$51,35,FALSE)="Yes",
                              1,0)</f>
        <v>1</v>
      </c>
      <c r="X142" s="309">
        <f>IF(
             VLOOKUP(X$2,'TIS Site Config'!$A$3:$AQ$51,35,FALSE)="Yes",
                              1,0)</f>
        <v>0</v>
      </c>
      <c r="Y142" s="212">
        <f>IF(
             VLOOKUP(Y$2,'TIS Site Config'!$A$3:$AQ$51,35,FALSE)="Yes",
                              1,0)</f>
        <v>0</v>
      </c>
      <c r="Z142" s="134">
        <f>IF(
             VLOOKUP(Z$2,'TIS Site Config'!$A$3:$AQ$51,35,FALSE)="Yes",
                              1,0)</f>
        <v>1</v>
      </c>
      <c r="AA142" s="309">
        <f>IF(
             VLOOKUP(AA$2,'TIS Site Config'!$A$3:$AQ$51,35,FALSE)="Yes",
                              1,0)</f>
        <v>0</v>
      </c>
      <c r="AB142" s="212">
        <f>IF(
             VLOOKUP(AB$2,'TIS Site Config'!$A$3:$AQ$51,35,FALSE)="Yes",
                              1,0)</f>
        <v>0</v>
      </c>
      <c r="AC142" s="309">
        <f>IF(
             VLOOKUP(AC$2,'TIS Site Config'!$A$3:$AQ$51,35,FALSE)="Yes",
                              1,0)</f>
        <v>1</v>
      </c>
      <c r="AD142" s="213">
        <f>IF(
             VLOOKUP(AD$2,'TIS Site Config'!$A$3:$AQ$51,35,FALSE)="Yes",
                              1,0)</f>
        <v>0</v>
      </c>
      <c r="AE142" s="213">
        <f>IF(
             VLOOKUP(AE$2,'TIS Site Config'!$A$3:$AQ$51,35,FALSE)="Yes",
                              1,0)</f>
        <v>0</v>
      </c>
      <c r="AF142" s="39">
        <f>IF(
             VLOOKUP(AF$2,'TIS Site Config'!$A$3:$AQ$51,35,FALSE)="Yes",
                              1,0)</f>
        <v>1</v>
      </c>
      <c r="AG142" s="309">
        <f>IF(
             VLOOKUP(AG$2,'TIS Site Config'!$A$3:$AQ$51,35,FALSE)="Yes",
                              1,0)</f>
        <v>0</v>
      </c>
      <c r="AH142" s="212">
        <f>IF(
             VLOOKUP(AH$2,'TIS Site Config'!$A$3:$AQ$51,35,FALSE)="Yes",
                              1,0)</f>
        <v>0</v>
      </c>
      <c r="AI142" s="134">
        <f>IF(
             VLOOKUP(AI$2,'TIS Site Config'!$A$3:$AQ$51,35,FALSE)="Yes",
                              1,0)</f>
        <v>1</v>
      </c>
      <c r="AJ142" s="309">
        <f>IF(
             VLOOKUP(AJ$2,'TIS Site Config'!$A$3:$AQ$51,35,FALSE)="Yes",
                              1,0)</f>
        <v>0</v>
      </c>
      <c r="AK142" s="212">
        <f>IF(
             VLOOKUP(AK$2,'TIS Site Config'!$A$3:$AQ$51,35,FALSE)="Yes",
                              1,0)</f>
        <v>0</v>
      </c>
      <c r="AL142" s="134">
        <f>IF(
             VLOOKUP(AL$2,'TIS Site Config'!$A$3:$AQ$51,35,FALSE)="Yes",
                              1,0)</f>
        <v>1</v>
      </c>
      <c r="AM142" s="309">
        <f>IF(
             VLOOKUP(AM$2,'TIS Site Config'!$A$3:$AQ$51,35,FALSE)="Yes",
                              1,0)</f>
        <v>0</v>
      </c>
      <c r="AN142" s="212">
        <f>IF(
             VLOOKUP(AN$2,'TIS Site Config'!$A$3:$AQ$51,35,FALSE)="Yes",
                              1,0)</f>
        <v>0</v>
      </c>
      <c r="AO142" s="134">
        <f>IF(
             VLOOKUP(AO$2,'TIS Site Config'!$A$3:$AQ$51,35,FALSE)="Yes",
                              1,0)</f>
        <v>1</v>
      </c>
      <c r="AP142" s="309">
        <f>IF(
             VLOOKUP(AP$2,'TIS Site Config'!$A$3:$AQ$51,35,FALSE)="Yes",
                              1,0)</f>
        <v>0</v>
      </c>
      <c r="AQ142" s="134">
        <f>IF(
             VLOOKUP(AQ$2,'TIS Site Config'!$A$3:$AQ$51,35,FALSE)="Yes",
                              1,0)</f>
        <v>1</v>
      </c>
      <c r="AR142" s="134">
        <f>IF(
             VLOOKUP(AR$2,'TIS Site Config'!$A$3:$AQ$51,35,FALSE)="Yes",
                              1,0)</f>
        <v>1</v>
      </c>
      <c r="AS142" s="309">
        <f>IF(
             VLOOKUP(AS$2,'TIS Site Config'!$A$3:$AQ$51,35,FALSE)="Yes",
                              1,0)</f>
        <v>0</v>
      </c>
      <c r="AT142" s="134">
        <f>IF(
             VLOOKUP(AT$2,'TIS Site Config'!$A$3:$AQ$51,35,FALSE)="Yes",
                              1,0)</f>
        <v>1</v>
      </c>
      <c r="AU142" s="309">
        <f>IF(
             VLOOKUP(AU$2,'TIS Site Config'!$A$3:$AQ$51,35,FALSE)="Yes",
                              1,0)</f>
        <v>0</v>
      </c>
      <c r="AV142" s="134">
        <f>IF(
             VLOOKUP(AV$2,'TIS Site Config'!$A$3:$AQ$51,35,FALSE)="Yes",
                              1,0)</f>
        <v>1</v>
      </c>
      <c r="AW142" s="134">
        <f>IF(
             VLOOKUP(AW$2,'TIS Site Config'!$A$3:$AQ$51,35,FALSE)="Yes",
                              1,0)</f>
        <v>1</v>
      </c>
      <c r="AX142" s="212">
        <f>IF(
             VLOOKUP(AX$2,'TIS Site Config'!$A$3:$AQ$51,35,FALSE)="Yes",
                              1,0)</f>
        <v>0</v>
      </c>
      <c r="AY142" s="134">
        <f>IF(
             VLOOKUP(AY$2,'TIS Site Config'!$A$3:$AQ$51,35,FALSE)="Yes",
                              1,0)</f>
        <v>1</v>
      </c>
      <c r="AZ142" s="309">
        <f>IF(
             VLOOKUP(AZ$2,'TIS Site Config'!$A$3:$AQ$51,35,FALSE)="Yes",
                              1,0)</f>
        <v>0</v>
      </c>
      <c r="BA142" s="213">
        <f>IF(
             VLOOKUP(BA$2,'TIS Site Config'!$A$3:$AQ$51,35,FALSE)="Yes",
                              1,0)</f>
        <v>0</v>
      </c>
      <c r="BB142" s="134">
        <f>IF(
             VLOOKUP(BB$2,'TIS Site Config'!$A$3:$AQ$51,35,FALSE)="Yes",
                              1,0)</f>
        <v>1</v>
      </c>
      <c r="BC142" s="212">
        <f>IF(
             VLOOKUP(BC$2,'TIS Site Config'!$A$3:$AQ$51,35,FALSE)="Yes",
                              1,0)</f>
        <v>1</v>
      </c>
      <c r="BD142" s="134">
        <f>IF(
             VLOOKUP(BD$2,'TIS Site Config'!$A$3:$AQ$51,35,FALSE)="Yes",
                              1,0)</f>
        <v>1</v>
      </c>
      <c r="BE142" s="309">
        <f>IF(
             VLOOKUP(BE$2,'TIS Site Config'!$A$3:$AQ$51,35,FALSE)="Yes",
                              1,0)</f>
        <v>0</v>
      </c>
      <c r="BF142" s="212">
        <f>IF(
             VLOOKUP(BF$2,'TIS Site Config'!$A$3:$AQ$51,35,FALSE)="Yes",
                              1,0)</f>
        <v>0</v>
      </c>
      <c r="BG142" s="60">
        <f>IF(
             VLOOKUP(BG$2,'TIS Site Config'!$A$3:$AQ$51,35,FALSE)="Yes",
                              1,0)</f>
        <v>1</v>
      </c>
      <c r="BH142" s="60">
        <f>IF(
             VLOOKUP(BH$2,'TIS Site Config'!$A$3:$AQ$51,35,FALSE)="Yes",
                              1,0)</f>
        <v>1</v>
      </c>
      <c r="BK142" s="10">
        <v>21</v>
      </c>
      <c r="BL142" s="950" t="b">
        <f t="shared" si="13"/>
        <v>1</v>
      </c>
      <c r="BO142" s="950"/>
    </row>
    <row r="143" spans="1:67" s="437" customFormat="1" x14ac:dyDescent="0.25">
      <c r="A143" s="1330"/>
      <c r="B143" s="1261"/>
      <c r="C143" s="59" t="s">
        <v>977</v>
      </c>
      <c r="D143" s="90">
        <v>4</v>
      </c>
      <c r="E143" s="84" t="s">
        <v>976</v>
      </c>
      <c r="F143" s="60">
        <f t="shared" si="12"/>
        <v>9</v>
      </c>
      <c r="G143" s="459"/>
      <c r="H143" s="460"/>
      <c r="I143" s="460"/>
      <c r="J143" s="460"/>
      <c r="K143" s="461"/>
      <c r="L143" s="494"/>
      <c r="M143" s="134">
        <f>IF(
             VLOOKUP(M$2,'TIS Site Config'!$A$3:$AQ$51,9,FALSE)="Yes",
    1,0)</f>
        <v>1</v>
      </c>
      <c r="N143" s="212">
        <f>IF(
             VLOOKUP(N$2,'TIS Site Config'!$A$3:$AQ$51,9,FALSE)="Yes",
    1,0)</f>
        <v>0</v>
      </c>
      <c r="O143" s="215">
        <f>IF(
             VLOOKUP(O$2,'TIS Site Config'!$A$3:$AQ$51,9,FALSE)="Yes",
    1,0)</f>
        <v>1</v>
      </c>
      <c r="P143" s="309">
        <f>IF(
             VLOOKUP(P$2,'TIS Site Config'!$A$3:$AQ$51,9,FALSE)="Yes",
    1,0)</f>
        <v>0</v>
      </c>
      <c r="Q143" s="212">
        <f>IF(
             VLOOKUP(Q$2,'TIS Site Config'!$A$3:$AQ$51,9,FALSE)="Yes",
    1,0)</f>
        <v>0</v>
      </c>
      <c r="R143" s="134">
        <f>IF(
             VLOOKUP(R$2,'TIS Site Config'!$A$3:$AQ$51,9,FALSE)="Yes",
    1,0)</f>
        <v>1</v>
      </c>
      <c r="S143" s="309">
        <f>IF(
             VLOOKUP(S$2,'TIS Site Config'!$A$3:$AQ$51,9,FALSE)="Yes",
    1,0)</f>
        <v>0</v>
      </c>
      <c r="T143" s="212">
        <f>IF(
             VLOOKUP(T$2,'TIS Site Config'!$A$3:$AQ$51,9,FALSE)="Yes",
    1,0)</f>
        <v>0</v>
      </c>
      <c r="U143" s="134">
        <f>IF(
             VLOOKUP(U$2,'TIS Site Config'!$A$3:$AQ$51,9,FALSE)="Yes",
    1,0)</f>
        <v>1</v>
      </c>
      <c r="V143" s="212">
        <f>IF(
             VLOOKUP(V$2,'TIS Site Config'!$A$3:$AQ$51,9,FALSE)="Yes",
    1,0)</f>
        <v>0</v>
      </c>
      <c r="W143" s="214">
        <f>IF(
             VLOOKUP(W$2,'TIS Site Config'!$A$3:$AQ$51,9,FALSE)="Yes",
    1,0)</f>
        <v>1</v>
      </c>
      <c r="X143" s="309">
        <f>IF(
             VLOOKUP(X$2,'TIS Site Config'!$A$3:$AQ$51,9,FALSE)="Yes",
    1,0)</f>
        <v>0</v>
      </c>
      <c r="Y143" s="212">
        <f>IF(
             VLOOKUP(Y$2,'TIS Site Config'!$A$3:$AQ$51,9,FALSE)="Yes",
    1,0)</f>
        <v>0</v>
      </c>
      <c r="Z143" s="134">
        <f>IF(
             VLOOKUP(Z$2,'TIS Site Config'!$A$3:$AQ$51,9,FALSE)="Yes",
    1,0)</f>
        <v>1</v>
      </c>
      <c r="AA143" s="309">
        <f>IF(
             VLOOKUP(AA$2,'TIS Site Config'!$A$3:$AQ$51,9,FALSE)="Yes",
    1,0)</f>
        <v>0</v>
      </c>
      <c r="AB143" s="212">
        <f>IF(
             VLOOKUP(AB$2,'TIS Site Config'!$A$3:$AQ$51,9,FALSE)="Yes",
    1,0)</f>
        <v>0</v>
      </c>
      <c r="AC143" s="309">
        <f>IF(
             VLOOKUP(AC$2,'TIS Site Config'!$A$3:$AQ$51,9,FALSE)="Yes",
    1,0)</f>
        <v>0</v>
      </c>
      <c r="AD143" s="213">
        <f>IF(
             VLOOKUP(AD$2,'TIS Site Config'!$A$3:$AQ$51,9,FALSE)="Yes",
    1,0)</f>
        <v>0</v>
      </c>
      <c r="AE143" s="213">
        <f>IF(
             VLOOKUP(AE$2,'TIS Site Config'!$A$3:$AQ$51,9,FALSE)="Yes",
    1,0)</f>
        <v>0</v>
      </c>
      <c r="AF143" s="39">
        <f>IF(
             VLOOKUP(AF$2,'TIS Site Config'!$A$3:$AQ$51,9,FALSE)="Yes",
    1,0)</f>
        <v>1</v>
      </c>
      <c r="AG143" s="309">
        <f>IF(
             VLOOKUP(AG$2,'TIS Site Config'!$A$3:$AQ$51,9,FALSE)="Yes",
    1,0)</f>
        <v>0</v>
      </c>
      <c r="AH143" s="212">
        <f>IF(
             VLOOKUP(AH$2,'TIS Site Config'!$A$3:$AQ$51,9,FALSE)="Yes",
    1,0)</f>
        <v>0</v>
      </c>
      <c r="AI143" s="134">
        <f>IF(
             VLOOKUP(AI$2,'TIS Site Config'!$A$3:$AQ$51,9,FALSE)="Yes",
    1,0)</f>
        <v>0</v>
      </c>
      <c r="AJ143" s="309">
        <f>IF(
             VLOOKUP(AJ$2,'TIS Site Config'!$A$3:$AQ$51,9,FALSE)="Yes",
    1,0)</f>
        <v>0</v>
      </c>
      <c r="AK143" s="212">
        <f>IF(
             VLOOKUP(AK$2,'TIS Site Config'!$A$3:$AQ$51,9,FALSE)="Yes",
    1,0)</f>
        <v>0</v>
      </c>
      <c r="AL143" s="134">
        <f>IF(
             VLOOKUP(AL$2,'TIS Site Config'!$A$3:$AQ$51,9,FALSE)="Yes",
    1,0)</f>
        <v>0</v>
      </c>
      <c r="AM143" s="309">
        <f>IF(
             VLOOKUP(AM$2,'TIS Site Config'!$A$3:$AQ$51,9,FALSE)="Yes",
    1,0)</f>
        <v>0</v>
      </c>
      <c r="AN143" s="212">
        <f>IF(
             VLOOKUP(AN$2,'TIS Site Config'!$A$3:$AQ$51,9,FALSE)="Yes",
    1,0)</f>
        <v>0</v>
      </c>
      <c r="AO143" s="134">
        <f>IF(
             VLOOKUP(AO$2,'TIS Site Config'!$A$3:$AQ$51,9,FALSE)="Yes",
    1,0)</f>
        <v>1</v>
      </c>
      <c r="AP143" s="309">
        <f>IF(
             VLOOKUP(AP$2,'TIS Site Config'!$A$3:$AQ$51,9,FALSE)="Yes",
    1,0)</f>
        <v>0</v>
      </c>
      <c r="AQ143" s="134">
        <f>IF(
             VLOOKUP(AQ$2,'TIS Site Config'!$A$3:$AQ$51,9,FALSE)="Yes",
    1,0)</f>
        <v>0</v>
      </c>
      <c r="AR143" s="134">
        <f>IF(
             VLOOKUP(AR$2,'TIS Site Config'!$A$3:$AQ$51,9,FALSE)="Yes",
    1,0)</f>
        <v>0</v>
      </c>
      <c r="AS143" s="309">
        <f>IF(
             VLOOKUP(AS$2,'TIS Site Config'!$A$3:$AQ$51,9,FALSE)="Yes",
    1,0)</f>
        <v>0</v>
      </c>
      <c r="AT143" s="134">
        <f>IF(
             VLOOKUP(AT$2,'TIS Site Config'!$A$3:$AQ$51,9,FALSE)="Yes",
    1,0)</f>
        <v>0</v>
      </c>
      <c r="AU143" s="309">
        <f>IF(
             VLOOKUP(AU$2,'TIS Site Config'!$A$3:$AQ$51,9,FALSE)="Yes",
    1,0)</f>
        <v>0</v>
      </c>
      <c r="AV143" s="134">
        <f>IF(
             VLOOKUP(AV$2,'TIS Site Config'!$A$3:$AQ$51,9,FALSE)="Yes",
    1,0)</f>
        <v>0</v>
      </c>
      <c r="AW143" s="134">
        <f>IF(
             VLOOKUP(AW$2,'TIS Site Config'!$A$3:$AQ$51,9,FALSE)="Yes",
    1,0)</f>
        <v>0</v>
      </c>
      <c r="AX143" s="212">
        <f>IF(
             VLOOKUP(AX$2,'TIS Site Config'!$A$3:$AQ$51,9,FALSE)="Yes",
    1,0)</f>
        <v>0</v>
      </c>
      <c r="AY143" s="134">
        <f>IF(
             VLOOKUP(AY$2,'TIS Site Config'!$A$3:$AQ$51,9,FALSE)="Yes",
    1,0)</f>
        <v>0</v>
      </c>
      <c r="AZ143" s="309">
        <f>IF(
             VLOOKUP(AZ$2,'TIS Site Config'!$A$3:$AQ$51,9,FALSE)="Yes",
    1,0)</f>
        <v>0</v>
      </c>
      <c r="BA143" s="213">
        <f>IF(
             VLOOKUP(BA$2,'TIS Site Config'!$A$3:$AQ$51,9,FALSE)="Yes",
    1,0)</f>
        <v>0</v>
      </c>
      <c r="BB143" s="134">
        <f>IF(
             VLOOKUP(BB$2,'TIS Site Config'!$A$3:$AQ$51,9,FALSE)="Yes",
    1,0)</f>
        <v>0</v>
      </c>
      <c r="BC143" s="212">
        <f>IF(
             VLOOKUP(BC$2,'TIS Site Config'!$A$3:$AQ$51,9,FALSE)="Yes",
    1,0)</f>
        <v>0</v>
      </c>
      <c r="BD143" s="134">
        <f>IF(
             VLOOKUP(BD$2,'TIS Site Config'!$A$3:$AQ$51,9,FALSE)="Yes",
    1,0)</f>
        <v>0</v>
      </c>
      <c r="BE143" s="309">
        <f>IF(
             VLOOKUP(BE$2,'TIS Site Config'!$A$3:$AQ$51,9,FALSE)="Yes",
    1,0)</f>
        <v>0</v>
      </c>
      <c r="BF143" s="212">
        <f>IF(
             VLOOKUP(BF$2,'TIS Site Config'!$A$3:$AQ$51,9,FALSE)="Yes",
    1,0)</f>
        <v>0</v>
      </c>
      <c r="BG143" s="60">
        <f>IF(
             VLOOKUP(BG$2,'TIS Site Config'!$A$3:$AQ$51,9,FALSE)="Yes",
    1,0)</f>
        <v>1</v>
      </c>
      <c r="BH143" s="60">
        <f>IF(
             VLOOKUP(BH$2,'TIS Site Config'!$A$3:$AQ$51,9,FALSE)="Yes",
    1,0)</f>
        <v>1</v>
      </c>
      <c r="BK143" s="437">
        <v>9</v>
      </c>
      <c r="BL143" s="950" t="b">
        <f t="shared" si="13"/>
        <v>1</v>
      </c>
      <c r="BO143" s="950"/>
    </row>
    <row r="144" spans="1:67" s="44" customFormat="1" ht="30" x14ac:dyDescent="0.25">
      <c r="A144" s="1330"/>
      <c r="B144" s="1261"/>
      <c r="C144" s="942" t="s">
        <v>958</v>
      </c>
      <c r="D144" s="90">
        <v>3</v>
      </c>
      <c r="E144" s="84" t="s">
        <v>434</v>
      </c>
      <c r="F144" s="60">
        <f t="shared" si="12"/>
        <v>124</v>
      </c>
      <c r="G144" s="459"/>
      <c r="H144" s="460"/>
      <c r="I144" s="460"/>
      <c r="J144" s="460"/>
      <c r="K144" s="461"/>
      <c r="L144" s="494"/>
      <c r="M144" s="134">
        <f>IF(VLOOKUP(M$2,'TIS Site Config'!$A$4:$AQ$51,37,FALSE)="Standard",
                      ROUNDUP(VLOOKUP(M$2,'TIS Site Config'!$A$4:$AQ$51,17,FALSE)/2,0),
                      0)</f>
        <v>3</v>
      </c>
      <c r="N144" s="212">
        <f>IF(VLOOKUP(N$2,'TIS Site Config'!$A$4:$AQ$51,37,FALSE)="Standard",
                      ROUNDUP(VLOOKUP(N$2,'TIS Site Config'!$A$4:$AQ$51,17,FALSE)/2,0),
                      0)</f>
        <v>3</v>
      </c>
      <c r="O144" s="215">
        <f>IF(VLOOKUP(O$2,'TIS Site Config'!$A$4:$AQ$51,37,FALSE)="Standard",
                      ROUNDUP(VLOOKUP(O$2,'TIS Site Config'!$A$4:$AQ$51,17,FALSE)/2,0),
                      0)</f>
        <v>3</v>
      </c>
      <c r="P144" s="309">
        <f>IF(VLOOKUP(P$2,'TIS Site Config'!$A$4:$AQ$51,37,FALSE)="Standard",
                      ROUNDUP(VLOOKUP(P$2,'TIS Site Config'!$A$4:$AQ$51,17,FALSE)/2,0),
                      0)</f>
        <v>3</v>
      </c>
      <c r="Q144" s="212">
        <f>IF(VLOOKUP(Q$2,'TIS Site Config'!$A$4:$AQ$51,37,FALSE)="Standard",
                      ROUNDUP(VLOOKUP(Q$2,'TIS Site Config'!$A$4:$AQ$51,17,FALSE)/2,0),
                      0)</f>
        <v>2</v>
      </c>
      <c r="R144" s="134">
        <f>IF(VLOOKUP(R$2,'TIS Site Config'!$A$4:$AQ$51,37,FALSE)="Standard",
                      ROUNDUP(VLOOKUP(R$2,'TIS Site Config'!$A$4:$AQ$51,17,FALSE)/2,0),
                      0)</f>
        <v>3</v>
      </c>
      <c r="S144" s="309">
        <f>IF(VLOOKUP(S$2,'TIS Site Config'!$A$4:$AQ$51,37,FALSE)="Standard",
                      ROUNDUP(VLOOKUP(S$2,'TIS Site Config'!$A$4:$AQ$51,17,FALSE)/2,0),
                      0)</f>
        <v>2</v>
      </c>
      <c r="T144" s="212">
        <f>IF(VLOOKUP(T$2,'TIS Site Config'!$A$4:$AQ$51,37,FALSE)="Standard",
                      ROUNDUP(VLOOKUP(T$2,'TIS Site Config'!$A$4:$AQ$51,17,FALSE)/2,0),
                      0)</f>
        <v>3</v>
      </c>
      <c r="U144" s="134">
        <f>IF(VLOOKUP(U$2,'TIS Site Config'!$A$4:$AQ$51,37,FALSE)="Standard",
                      ROUNDUP(VLOOKUP(U$2,'TIS Site Config'!$A$4:$AQ$51,17,FALSE)/2,0),
                      0)</f>
        <v>3</v>
      </c>
      <c r="V144" s="212">
        <f>IF(VLOOKUP(V$2,'TIS Site Config'!$A$4:$AQ$51,37,FALSE)="Standard",
                      ROUNDUP(VLOOKUP(V$2,'TIS Site Config'!$A$4:$AQ$51,17,FALSE)/2,0),
                      0)</f>
        <v>2</v>
      </c>
      <c r="W144" s="214">
        <f>IF(VLOOKUP(W$2,'TIS Site Config'!$A$4:$AQ$51,37,FALSE)="Standard",
                      ROUNDUP(VLOOKUP(W$2,'TIS Site Config'!$A$4:$AQ$51,17,FALSE)/2,0),
                      0)</f>
        <v>3</v>
      </c>
      <c r="X144" s="309">
        <f>IF(VLOOKUP(X$2,'TIS Site Config'!$A$4:$AQ$51,37,FALSE)="Standard",
                      ROUNDUP(VLOOKUP(X$2,'TIS Site Config'!$A$4:$AQ$51,17,FALSE)/2,0),
                      0)</f>
        <v>3</v>
      </c>
      <c r="Y144" s="212">
        <f>IF(VLOOKUP(Y$2,'TIS Site Config'!$A$4:$AQ$51,37,FALSE)="Standard",
                      ROUNDUP(VLOOKUP(Y$2,'TIS Site Config'!$A$4:$AQ$51,17,FALSE)/2,0),
                      0)</f>
        <v>3</v>
      </c>
      <c r="Z144" s="134">
        <f>IF(VLOOKUP(Z$2,'TIS Site Config'!$A$4:$AQ$51,37,FALSE)="Standard",
                      ROUNDUP(VLOOKUP(Z$2,'TIS Site Config'!$A$4:$AQ$51,17,FALSE)/2,0),
                      0)</f>
        <v>2</v>
      </c>
      <c r="AA144" s="309">
        <f>IF(VLOOKUP(AA$2,'TIS Site Config'!$A$4:$AQ$51,37,FALSE)="Standard",
                      ROUNDUP(VLOOKUP(AA$2,'TIS Site Config'!$A$4:$AQ$51,17,FALSE)/2,0),
                      0)</f>
        <v>3</v>
      </c>
      <c r="AB144" s="212">
        <f>IF(VLOOKUP(AB$2,'TIS Site Config'!$A$4:$AQ$51,37,FALSE)="Standard",
                      ROUNDUP(VLOOKUP(AB$2,'TIS Site Config'!$A$4:$AQ$51,17,FALSE)/2,0),
                      0)</f>
        <v>2</v>
      </c>
      <c r="AC144" s="309">
        <f>IF(VLOOKUP(AC$2,'TIS Site Config'!$A$4:$AQ$51,37,FALSE)="Standard",
                      ROUNDUP(VLOOKUP(AC$2,'TIS Site Config'!$A$4:$AQ$51,17,FALSE)/2,0),
                      0)</f>
        <v>3</v>
      </c>
      <c r="AD144" s="213">
        <f>IF(VLOOKUP(AD$2,'TIS Site Config'!$A$4:$AQ$51,37,FALSE)="Standard",
                      ROUNDUP(VLOOKUP(AD$2,'TIS Site Config'!$A$4:$AQ$51,17,FALSE)/2,0),
                      0)</f>
        <v>3</v>
      </c>
      <c r="AE144" s="213">
        <f>IF(VLOOKUP(AE$2,'TIS Site Config'!$A$4:$AQ$51,37,FALSE)="Standard",
                      ROUNDUP(VLOOKUP(AE$2,'TIS Site Config'!$A$4:$AQ$51,17,FALSE)/2,0),
                      0)</f>
        <v>3</v>
      </c>
      <c r="AF144" s="39">
        <f>IF(VLOOKUP(AF$2,'TIS Site Config'!$A$4:$AQ$51,37,FALSE)="Standard",
                      ROUNDUP(VLOOKUP(AF$2,'TIS Site Config'!$A$4:$AQ$51,17,FALSE)/2,0),
                      0)</f>
        <v>3</v>
      </c>
      <c r="AG144" s="309">
        <f>IF(VLOOKUP(AG$2,'TIS Site Config'!$A$4:$AQ$51,37,FALSE)="Standard",
                      ROUNDUP(VLOOKUP(AG$2,'TIS Site Config'!$A$4:$AQ$51,17,FALSE)/2,0),
                      0)</f>
        <v>3</v>
      </c>
      <c r="AH144" s="212">
        <f>IF(VLOOKUP(AH$2,'TIS Site Config'!$A$4:$AQ$51,37,FALSE)="Standard",
                      ROUNDUP(VLOOKUP(AH$2,'TIS Site Config'!$A$4:$AQ$51,17,FALSE)/2,0),
                      0)</f>
        <v>3</v>
      </c>
      <c r="AI144" s="134">
        <f>IF(VLOOKUP(AI$2,'TIS Site Config'!$A$4:$AQ$51,37,FALSE)="Standard",
                      ROUNDUP(VLOOKUP(AI$2,'TIS Site Config'!$A$4:$AQ$51,17,FALSE)/2,0),
                      0)</f>
        <v>2</v>
      </c>
      <c r="AJ144" s="309">
        <f>IF(VLOOKUP(AJ$2,'TIS Site Config'!$A$4:$AQ$51,37,FALSE)="Standard",
                      ROUNDUP(VLOOKUP(AJ$2,'TIS Site Config'!$A$4:$AQ$51,17,FALSE)/2,0),
                      0)</f>
        <v>2</v>
      </c>
      <c r="AK144" s="212">
        <f>IF(VLOOKUP(AK$2,'TIS Site Config'!$A$4:$AQ$51,37,FALSE)="Standard",
                      ROUNDUP(VLOOKUP(AK$2,'TIS Site Config'!$A$4:$AQ$51,17,FALSE)/2,0),
                      0)</f>
        <v>2</v>
      </c>
      <c r="AL144" s="134">
        <f>IF(VLOOKUP(AL$2,'TIS Site Config'!$A$4:$AQ$51,37,FALSE)="Standard",
                      ROUNDUP(VLOOKUP(AL$2,'TIS Site Config'!$A$4:$AQ$51,17,FALSE)/2,0),
                      0)</f>
        <v>2</v>
      </c>
      <c r="AM144" s="309">
        <f>IF(VLOOKUP(AM$2,'TIS Site Config'!$A$4:$AQ$51,37,FALSE)="Standard",
                      ROUNDUP(VLOOKUP(AM$2,'TIS Site Config'!$A$4:$AQ$51,17,FALSE)/2,0),
                      0)</f>
        <v>2</v>
      </c>
      <c r="AN144" s="940">
        <f>IF(VLOOKUP(AN$2,'TIS Site Config'!$A$4:$AQ$51,37,FALSE)="Standard",
                      ROUNDUP(VLOOKUP(AN$2,'TIS Site Config'!$A$4:$AQ$51,17,FALSE)/2,0),
                      0)</f>
        <v>3</v>
      </c>
      <c r="AO144" s="134">
        <f>IF(VLOOKUP(AO$2,'TIS Site Config'!$A$4:$AQ$51,37,FALSE)="Standard",
                      ROUNDUP(VLOOKUP(AO$2,'TIS Site Config'!$A$4:$AQ$51,17,FALSE)/2,0),
                      0)</f>
        <v>3</v>
      </c>
      <c r="AP144" s="309">
        <f>IF(VLOOKUP(AP$2,'TIS Site Config'!$A$4:$AQ$51,37,FALSE)="Standard",
                      ROUNDUP(VLOOKUP(AP$2,'TIS Site Config'!$A$4:$AQ$51,17,FALSE)/2,0),
                      0)</f>
        <v>2</v>
      </c>
      <c r="AQ144" s="1007">
        <f>IF(VLOOKUP(AQ$2,'TIS Site Config'!$A$4:$AQ$51,37,FALSE)="Standard",
                      ROUNDUP(VLOOKUP(AQ$2,'TIS Site Config'!$A$4:$AQ$51,17,FALSE)/2,0),
                      0)</f>
        <v>3</v>
      </c>
      <c r="AR144" s="1007">
        <f>IF(VLOOKUP(AR$2,'TIS Site Config'!$A$4:$AQ$51,37,FALSE)="Standard",
                      ROUNDUP(VLOOKUP(AR$2,'TIS Site Config'!$A$4:$AQ$51,17,FALSE)/2,0),
                      0)</f>
        <v>2</v>
      </c>
      <c r="AS144" s="309">
        <f>IF(VLOOKUP(AS$2,'TIS Site Config'!$A$4:$AQ$51,37,FALSE)="Standard",
                      ROUNDUP(VLOOKUP(AS$2,'TIS Site Config'!$A$4:$AQ$51,17,FALSE)/2,0),
                      0)</f>
        <v>2</v>
      </c>
      <c r="AT144" s="134">
        <f>IF(VLOOKUP(AT$2,'TIS Site Config'!$A$4:$AQ$51,37,FALSE)="Standard",
                      ROUNDUP(VLOOKUP(AT$2,'TIS Site Config'!$A$4:$AQ$51,17,FALSE)/2,0),
                      0)</f>
        <v>2</v>
      </c>
      <c r="AU144" s="309">
        <f>IF(VLOOKUP(AU$2,'TIS Site Config'!$A$4:$AQ$51,37,FALSE)="Standard",
                      ROUNDUP(VLOOKUP(AU$2,'TIS Site Config'!$A$4:$AQ$51,17,FALSE)/2,0),
                      0)</f>
        <v>2</v>
      </c>
      <c r="AV144" s="134">
        <f>IF(VLOOKUP(AV$2,'TIS Site Config'!$A$4:$AQ$51,37,FALSE)="Standard",
                      ROUNDUP(VLOOKUP(AV$2,'TIS Site Config'!$A$4:$AQ$51,17,FALSE)/2,0),
                      0)</f>
        <v>2</v>
      </c>
      <c r="AW144" s="134">
        <f>IF(VLOOKUP(AW$2,'TIS Site Config'!$A$4:$AQ$51,37,FALSE)="Standard",
                      ROUNDUP(VLOOKUP(AW$2,'TIS Site Config'!$A$4:$AQ$51,17,FALSE)/2,0),
                      0)</f>
        <v>4</v>
      </c>
      <c r="AX144" s="212">
        <f>IF(VLOOKUP(AX$2,'TIS Site Config'!$A$4:$AQ$51,37,FALSE)="Standard",
                      ROUNDUP(VLOOKUP(AX$2,'TIS Site Config'!$A$4:$AQ$51,17,FALSE)/2,0),
                      0)</f>
        <v>3</v>
      </c>
      <c r="AY144" s="134">
        <f>IF(VLOOKUP(AY$2,'TIS Site Config'!$A$4:$AQ$51,37,FALSE)="Standard",
                      ROUNDUP(VLOOKUP(AY$2,'TIS Site Config'!$A$4:$AQ$51,17,FALSE)/2,0),
                      0)</f>
        <v>3</v>
      </c>
      <c r="AZ144" s="309">
        <f>IF(VLOOKUP(AZ$2,'TIS Site Config'!$A$4:$AQ$51,37,FALSE)="Standard",
                      ROUNDUP(VLOOKUP(AZ$2,'TIS Site Config'!$A$4:$AQ$51,17,FALSE)/2,0),
                      0)</f>
        <v>3</v>
      </c>
      <c r="BA144" s="988">
        <f>IF(VLOOKUP(BA$2,'TIS Site Config'!$A$4:$AQ$51,37,FALSE)="Standard",
                      ROUNDUP(VLOOKUP(BA$2,'TIS Site Config'!$A$4:$AQ$51,17,FALSE)/2,0),
                      0)</f>
        <v>4</v>
      </c>
      <c r="BB144" s="134">
        <f>IF(VLOOKUP(BB$2,'TIS Site Config'!$A$4:$AQ$51,37,FALSE)="Standard",
                      ROUNDUP(VLOOKUP(BB$2,'TIS Site Config'!$A$4:$AQ$51,17,FALSE)/2,0),
                      0)</f>
        <v>2</v>
      </c>
      <c r="BC144" s="212">
        <f>IF(VLOOKUP(BC$2,'TIS Site Config'!$A$4:$AQ$51,37,FALSE)="Standard",
                      ROUNDUP(VLOOKUP(BC$2,'TIS Site Config'!$A$4:$AQ$51,17,FALSE)/2,0),
                      0)</f>
        <v>2</v>
      </c>
      <c r="BD144" s="134">
        <f>IF(VLOOKUP(BD$2,'TIS Site Config'!$A$4:$AQ$51,37,FALSE)="Standard",
                      ROUNDUP(VLOOKUP(BD$2,'TIS Site Config'!$A$4:$AQ$51,17,FALSE)/2,0),
                      0)</f>
        <v>3</v>
      </c>
      <c r="BE144" s="309">
        <f>IF(VLOOKUP(BE$2,'TIS Site Config'!$A$4:$AQ$51,37,FALSE)="Standard",
                      ROUNDUP(VLOOKUP(BE$2,'TIS Site Config'!$A$4:$AQ$51,17,FALSE)/2,0),
                      0)</f>
        <v>3</v>
      </c>
      <c r="BF144" s="212">
        <f>IF(VLOOKUP(BF$2,'TIS Site Config'!$A$4:$AQ$51,37,FALSE)="Standard",
                      ROUNDUP(VLOOKUP(BF$2,'TIS Site Config'!$A$4:$AQ$51,17,FALSE)/2,0),
                      0)</f>
        <v>2</v>
      </c>
      <c r="BG144" s="60">
        <f>IF(VLOOKUP(BG$2,'TIS Site Config'!$A$4:$AQ$51,37,FALSE)="Standard",
                      ROUNDUP(VLOOKUP(BG$2,'TIS Site Config'!$A$4:$AQ$51,17,FALSE)/2,0),
                      0)</f>
        <v>3</v>
      </c>
      <c r="BH144" s="60">
        <f>IF(VLOOKUP(BH$2,'TIS Site Config'!$A$4:$AQ$51,37,FALSE)="Standard",
                      ROUNDUP(VLOOKUP(BH$2,'TIS Site Config'!$A$4:$AQ$51,17,FALSE)/2,0),
                      0)</f>
        <v>2</v>
      </c>
      <c r="BK144" s="44">
        <v>156</v>
      </c>
      <c r="BL144" s="950" t="b">
        <f t="shared" si="13"/>
        <v>0</v>
      </c>
      <c r="BO144" s="950"/>
    </row>
    <row r="145" spans="1:67" s="44" customFormat="1" ht="30" x14ac:dyDescent="0.25">
      <c r="A145" s="1330"/>
      <c r="B145" s="1261"/>
      <c r="C145" s="59" t="s">
        <v>957</v>
      </c>
      <c r="D145" s="90">
        <v>4</v>
      </c>
      <c r="E145" s="84" t="s">
        <v>463</v>
      </c>
      <c r="F145" s="60">
        <f t="shared" si="12"/>
        <v>116</v>
      </c>
      <c r="G145" s="462"/>
      <c r="H145" s="463"/>
      <c r="I145" s="463"/>
      <c r="J145" s="463"/>
      <c r="K145" s="464"/>
      <c r="L145" s="495"/>
      <c r="M145" s="134">
        <f>IF(VLOOKUP(M$2,'TIS Site Config'!$A$4:$AQ$51,37,FALSE)="Standard",
                      ROUNDDOWN(VLOOKUP(M$2,'TIS Site Config'!$A$4:$AQ$51,17,FALSE)/2,0),
                      0)</f>
        <v>3</v>
      </c>
      <c r="N145" s="212">
        <f>IF(VLOOKUP(N$2,'TIS Site Config'!$A$4:$AQ$51,37,FALSE)="Standard",
                      ROUNDDOWN(VLOOKUP(N$2,'TIS Site Config'!$A$4:$AQ$51,17,FALSE)/2,0),
                      0)</f>
        <v>3</v>
      </c>
      <c r="O145" s="215">
        <f>IF(VLOOKUP(O$2,'TIS Site Config'!$A$4:$AQ$51,37,FALSE)="Standard",
                      ROUNDDOWN(VLOOKUP(O$2,'TIS Site Config'!$A$4:$AQ$51,17,FALSE)/2,0),
                      0)</f>
        <v>3</v>
      </c>
      <c r="P145" s="309">
        <f>IF(VLOOKUP(P$2,'TIS Site Config'!$A$4:$AQ$51,37,FALSE)="Standard",
                      ROUNDDOWN(VLOOKUP(P$2,'TIS Site Config'!$A$4:$AQ$51,17,FALSE)/2,0),
                      0)</f>
        <v>3</v>
      </c>
      <c r="Q145" s="212">
        <f>IF(VLOOKUP(Q$2,'TIS Site Config'!$A$4:$AQ$51,37,FALSE)="Standard",
                      ROUNDDOWN(VLOOKUP(Q$2,'TIS Site Config'!$A$4:$AQ$51,17,FALSE)/2,0),
                      0)</f>
        <v>2</v>
      </c>
      <c r="R145" s="134">
        <f>IF(VLOOKUP(R$2,'TIS Site Config'!$A$4:$AQ$51,37,FALSE)="Standard",
                      ROUNDDOWN(VLOOKUP(R$2,'TIS Site Config'!$A$4:$AQ$51,17,FALSE)/2,0),
                      0)</f>
        <v>3</v>
      </c>
      <c r="S145" s="309">
        <f>IF(VLOOKUP(S$2,'TIS Site Config'!$A$4:$AQ$51,37,FALSE)="Standard",
                      ROUNDDOWN(VLOOKUP(S$2,'TIS Site Config'!$A$4:$AQ$51,17,FALSE)/2,0),
                      0)</f>
        <v>2</v>
      </c>
      <c r="T145" s="212">
        <f>IF(VLOOKUP(T$2,'TIS Site Config'!$A$4:$AQ$51,37,FALSE)="Standard",
                      ROUNDDOWN(VLOOKUP(T$2,'TIS Site Config'!$A$4:$AQ$51,17,FALSE)/2,0),
                      0)</f>
        <v>3</v>
      </c>
      <c r="U145" s="134">
        <f>IF(VLOOKUP(U$2,'TIS Site Config'!$A$4:$AQ$51,37,FALSE)="Standard",
                      ROUNDDOWN(VLOOKUP(U$2,'TIS Site Config'!$A$4:$AQ$51,17,FALSE)/2,0),
                      0)</f>
        <v>2</v>
      </c>
      <c r="V145" s="212">
        <f>IF(VLOOKUP(V$2,'TIS Site Config'!$A$4:$AQ$51,37,FALSE)="Standard",
                      ROUNDDOWN(VLOOKUP(V$2,'TIS Site Config'!$A$4:$AQ$51,17,FALSE)/2,0),
                      0)</f>
        <v>2</v>
      </c>
      <c r="W145" s="214">
        <f>IF(VLOOKUP(W$2,'TIS Site Config'!$A$4:$AQ$51,37,FALSE)="Standard",
                      ROUNDDOWN(VLOOKUP(W$2,'TIS Site Config'!$A$4:$AQ$51,17,FALSE)/2,0),
                      0)</f>
        <v>3</v>
      </c>
      <c r="X145" s="309">
        <f>IF(VLOOKUP(X$2,'TIS Site Config'!$A$4:$AQ$51,37,FALSE)="Standard",
                      ROUNDDOWN(VLOOKUP(X$2,'TIS Site Config'!$A$4:$AQ$51,17,FALSE)/2,0),
                      0)</f>
        <v>3</v>
      </c>
      <c r="Y145" s="212">
        <f>IF(VLOOKUP(Y$2,'TIS Site Config'!$A$4:$AQ$51,37,FALSE)="Standard",
                      ROUNDDOWN(VLOOKUP(Y$2,'TIS Site Config'!$A$4:$AQ$51,17,FALSE)/2,0),
                      0)</f>
        <v>3</v>
      </c>
      <c r="Z145" s="134">
        <f>IF(VLOOKUP(Z$2,'TIS Site Config'!$A$4:$AQ$51,37,FALSE)="Standard",
                      ROUNDDOWN(VLOOKUP(Z$2,'TIS Site Config'!$A$4:$AQ$51,17,FALSE)/2,0),
                      0)</f>
        <v>2</v>
      </c>
      <c r="AA145" s="309">
        <f>IF(VLOOKUP(AA$2,'TIS Site Config'!$A$4:$AQ$51,37,FALSE)="Standard",
                      ROUNDDOWN(VLOOKUP(AA$2,'TIS Site Config'!$A$4:$AQ$51,17,FALSE)/2,0),
                      0)</f>
        <v>3</v>
      </c>
      <c r="AB145" s="212">
        <f>IF(VLOOKUP(AB$2,'TIS Site Config'!$A$4:$AQ$51,37,FALSE)="Standard",
                      ROUNDDOWN(VLOOKUP(AB$2,'TIS Site Config'!$A$4:$AQ$51,17,FALSE)/2,0),
                      0)</f>
        <v>2</v>
      </c>
      <c r="AC145" s="309">
        <f>IF(VLOOKUP(AC$2,'TIS Site Config'!$A$4:$AQ$51,37,FALSE)="Standard",
                      ROUNDDOWN(VLOOKUP(AC$2,'TIS Site Config'!$A$4:$AQ$51,17,FALSE)/2,0),
                      0)</f>
        <v>3</v>
      </c>
      <c r="AD145" s="213">
        <f>IF(VLOOKUP(AD$2,'TIS Site Config'!$A$4:$AQ$51,37,FALSE)="Standard",
                      ROUNDDOWN(VLOOKUP(AD$2,'TIS Site Config'!$A$4:$AQ$51,17,FALSE)/2,0),
                      0)</f>
        <v>3</v>
      </c>
      <c r="AE145" s="213">
        <f>IF(VLOOKUP(AE$2,'TIS Site Config'!$A$4:$AQ$51,37,FALSE)="Standard",
                      ROUNDDOWN(VLOOKUP(AE$2,'TIS Site Config'!$A$4:$AQ$51,17,FALSE)/2,0),
                      0)</f>
        <v>3</v>
      </c>
      <c r="AF145" s="39">
        <f>IF(VLOOKUP(AF$2,'TIS Site Config'!$A$4:$AQ$51,37,FALSE)="Standard",
                      ROUNDDOWN(VLOOKUP(AF$2,'TIS Site Config'!$A$4:$AQ$51,17,FALSE)/2,0),
                      0)</f>
        <v>2</v>
      </c>
      <c r="AG145" s="309">
        <f>IF(VLOOKUP(AG$2,'TIS Site Config'!$A$4:$AQ$51,37,FALSE)="Standard",
                      ROUNDDOWN(VLOOKUP(AG$2,'TIS Site Config'!$A$4:$AQ$51,17,FALSE)/2,0),
                      0)</f>
        <v>3</v>
      </c>
      <c r="AH145" s="212">
        <f>IF(VLOOKUP(AH$2,'TIS Site Config'!$A$4:$AQ$51,37,FALSE)="Standard",
                      ROUNDDOWN(VLOOKUP(AH$2,'TIS Site Config'!$A$4:$AQ$51,17,FALSE)/2,0),
                      0)</f>
        <v>3</v>
      </c>
      <c r="AI145" s="134">
        <f>IF(VLOOKUP(AI$2,'TIS Site Config'!$A$4:$AQ$51,37,FALSE)="Standard",
                      ROUNDDOWN(VLOOKUP(AI$2,'TIS Site Config'!$A$4:$AQ$51,17,FALSE)/2,0),
                      0)</f>
        <v>2</v>
      </c>
      <c r="AJ145" s="309">
        <f>IF(VLOOKUP(AJ$2,'TIS Site Config'!$A$4:$AQ$51,37,FALSE)="Standard",
                      ROUNDDOWN(VLOOKUP(AJ$2,'TIS Site Config'!$A$4:$AQ$51,17,FALSE)/2,0),
                      0)</f>
        <v>2</v>
      </c>
      <c r="AK145" s="212">
        <f>IF(VLOOKUP(AK$2,'TIS Site Config'!$A$4:$AQ$51,37,FALSE)="Standard",
                      ROUNDDOWN(VLOOKUP(AK$2,'TIS Site Config'!$A$4:$AQ$51,17,FALSE)/2,0),
                      0)</f>
        <v>2</v>
      </c>
      <c r="AL145" s="134">
        <f>IF(VLOOKUP(AL$2,'TIS Site Config'!$A$4:$AQ$51,37,FALSE)="Standard",
                      ROUNDDOWN(VLOOKUP(AL$2,'TIS Site Config'!$A$4:$AQ$51,17,FALSE)/2,0),
                      0)</f>
        <v>2</v>
      </c>
      <c r="AM145" s="309">
        <f>IF(VLOOKUP(AM$2,'TIS Site Config'!$A$4:$AQ$51,37,FALSE)="Standard",
                      ROUNDDOWN(VLOOKUP(AM$2,'TIS Site Config'!$A$4:$AQ$51,17,FALSE)/2,0),
                      0)</f>
        <v>2</v>
      </c>
      <c r="AN145" s="940">
        <f>IF(VLOOKUP(AN$2,'TIS Site Config'!$A$4:$AQ$51,37,FALSE)="Standard",
                      ROUNDDOWN(VLOOKUP(AN$2,'TIS Site Config'!$A$4:$AQ$51,17,FALSE)/2,0),
                      0)</f>
        <v>2</v>
      </c>
      <c r="AO145" s="134">
        <f>IF(VLOOKUP(AO$2,'TIS Site Config'!$A$4:$AQ$51,37,FALSE)="Standard",
                      ROUNDDOWN(VLOOKUP(AO$2,'TIS Site Config'!$A$4:$AQ$51,17,FALSE)/2,0),
                      0)</f>
        <v>2</v>
      </c>
      <c r="AP145" s="309">
        <f>IF(VLOOKUP(AP$2,'TIS Site Config'!$A$4:$AQ$51,37,FALSE)="Standard",
                      ROUNDDOWN(VLOOKUP(AP$2,'TIS Site Config'!$A$4:$AQ$51,17,FALSE)/2,0),
                      0)</f>
        <v>2</v>
      </c>
      <c r="AQ145" s="1007">
        <f>IF(VLOOKUP(AQ$2,'TIS Site Config'!$A$4:$AQ$51,37,FALSE)="Standard",
                      ROUNDDOWN(VLOOKUP(AQ$2,'TIS Site Config'!$A$4:$AQ$51,17,FALSE)/2,0),
                      0)</f>
        <v>3</v>
      </c>
      <c r="AR145" s="1007">
        <f>IF(VLOOKUP(AR$2,'TIS Site Config'!$A$4:$AQ$51,37,FALSE)="Standard",
                      ROUNDDOWN(VLOOKUP(AR$2,'TIS Site Config'!$A$4:$AQ$51,17,FALSE)/2,0),
                      0)</f>
        <v>2</v>
      </c>
      <c r="AS145" s="309">
        <f>IF(VLOOKUP(AS$2,'TIS Site Config'!$A$4:$AQ$51,37,FALSE)="Standard",
                      ROUNDDOWN(VLOOKUP(AS$2,'TIS Site Config'!$A$4:$AQ$51,17,FALSE)/2,0),
                      0)</f>
        <v>2</v>
      </c>
      <c r="AT145" s="134">
        <f>IF(VLOOKUP(AT$2,'TIS Site Config'!$A$4:$AQ$51,37,FALSE)="Standard",
                      ROUNDDOWN(VLOOKUP(AT$2,'TIS Site Config'!$A$4:$AQ$51,17,FALSE)/2,0),
                      0)</f>
        <v>2</v>
      </c>
      <c r="AU145" s="309">
        <f>IF(VLOOKUP(AU$2,'TIS Site Config'!$A$4:$AQ$51,37,FALSE)="Standard",
                      ROUNDDOWN(VLOOKUP(AU$2,'TIS Site Config'!$A$4:$AQ$51,17,FALSE)/2,0),
                      0)</f>
        <v>2</v>
      </c>
      <c r="AV145" s="134">
        <f>IF(VLOOKUP(AV$2,'TIS Site Config'!$A$4:$AQ$51,37,FALSE)="Standard",
                      ROUNDDOWN(VLOOKUP(AV$2,'TIS Site Config'!$A$4:$AQ$51,17,FALSE)/2,0),
                      0)</f>
        <v>2</v>
      </c>
      <c r="AW145" s="134">
        <f>IF(VLOOKUP(AW$2,'TIS Site Config'!$A$4:$AQ$51,37,FALSE)="Standard",
                      ROUNDDOWN(VLOOKUP(AW$2,'TIS Site Config'!$A$4:$AQ$51,17,FALSE)/2,0),
                      0)</f>
        <v>4</v>
      </c>
      <c r="AX145" s="212">
        <f>IF(VLOOKUP(AX$2,'TIS Site Config'!$A$4:$AQ$51,37,FALSE)="Standard",
                      ROUNDDOWN(VLOOKUP(AX$2,'TIS Site Config'!$A$4:$AQ$51,17,FALSE)/2,0),
                      0)</f>
        <v>2</v>
      </c>
      <c r="AY145" s="134">
        <f>IF(VLOOKUP(AY$2,'TIS Site Config'!$A$4:$AQ$51,37,FALSE)="Standard",
                      ROUNDDOWN(VLOOKUP(AY$2,'TIS Site Config'!$A$4:$AQ$51,17,FALSE)/2,0),
                      0)</f>
        <v>3</v>
      </c>
      <c r="AZ145" s="309">
        <f>IF(VLOOKUP(AZ$2,'TIS Site Config'!$A$4:$AQ$51,37,FALSE)="Standard",
                      ROUNDDOWN(VLOOKUP(AZ$2,'TIS Site Config'!$A$4:$AQ$51,17,FALSE)/2,0),
                      0)</f>
        <v>3</v>
      </c>
      <c r="BA145" s="988">
        <f>IF(VLOOKUP(BA$2,'TIS Site Config'!$A$4:$AQ$51,37,FALSE)="Standard",
                      ROUNDDOWN(VLOOKUP(BA$2,'TIS Site Config'!$A$4:$AQ$51,17,FALSE)/2,0),
                      0)</f>
        <v>3</v>
      </c>
      <c r="BB145" s="134">
        <f>IF(VLOOKUP(BB$2,'TIS Site Config'!$A$4:$AQ$51,37,FALSE)="Standard",
                      ROUNDDOWN(VLOOKUP(BB$2,'TIS Site Config'!$A$4:$AQ$51,17,FALSE)/2,0),
                      0)</f>
        <v>2</v>
      </c>
      <c r="BC145" s="212">
        <f>IF(VLOOKUP(BC$2,'TIS Site Config'!$A$4:$AQ$51,37,FALSE)="Standard",
                      ROUNDDOWN(VLOOKUP(BC$2,'TIS Site Config'!$A$4:$AQ$51,17,FALSE)/2,0),
                      0)</f>
        <v>2</v>
      </c>
      <c r="BD145" s="134">
        <f>IF(VLOOKUP(BD$2,'TIS Site Config'!$A$4:$AQ$51,37,FALSE)="Standard",
                      ROUNDDOWN(VLOOKUP(BD$2,'TIS Site Config'!$A$4:$AQ$51,17,FALSE)/2,0),
                      0)</f>
        <v>2</v>
      </c>
      <c r="BE145" s="309">
        <f>IF(VLOOKUP(BE$2,'TIS Site Config'!$A$4:$AQ$51,37,FALSE)="Standard",
                      ROUNDDOWN(VLOOKUP(BE$2,'TIS Site Config'!$A$4:$AQ$51,17,FALSE)/2,0),
                      0)</f>
        <v>2</v>
      </c>
      <c r="BF145" s="212">
        <f>IF(VLOOKUP(BF$2,'TIS Site Config'!$A$4:$AQ$51,37,FALSE)="Standard",
                      ROUNDDOWN(VLOOKUP(BF$2,'TIS Site Config'!$A$4:$AQ$51,17,FALSE)/2,0),
                      0)</f>
        <v>2</v>
      </c>
      <c r="BG145" s="60">
        <f>IF(VLOOKUP(BG$2,'TIS Site Config'!$A$4:$AQ$51,37,FALSE)="Standard",
                      ROUNDDOWN(VLOOKUP(BG$2,'TIS Site Config'!$A$4:$AQ$51,17,FALSE)/2,0),
                      0)</f>
        <v>3</v>
      </c>
      <c r="BH145" s="60">
        <f>IF(VLOOKUP(BH$2,'TIS Site Config'!$A$4:$AQ$51,37,FALSE)="Standard",
                      ROUNDDOWN(VLOOKUP(BH$2,'TIS Site Config'!$A$4:$AQ$51,17,FALSE)/2,0),
                      0)</f>
        <v>2</v>
      </c>
      <c r="BK145" s="44">
        <v>145</v>
      </c>
      <c r="BL145" s="950" t="b">
        <f t="shared" si="13"/>
        <v>0</v>
      </c>
      <c r="BO145" s="950"/>
    </row>
    <row r="146" spans="1:67" s="44" customFormat="1" x14ac:dyDescent="0.25">
      <c r="A146" s="1330"/>
      <c r="B146" s="1261"/>
      <c r="C146" s="57" t="s">
        <v>538</v>
      </c>
      <c r="D146" s="90">
        <v>3</v>
      </c>
      <c r="E146" s="84" t="s">
        <v>547</v>
      </c>
      <c r="F146" s="60">
        <f t="shared" si="12"/>
        <v>115</v>
      </c>
      <c r="G146" s="459"/>
      <c r="H146" s="460"/>
      <c r="I146" s="460"/>
      <c r="J146" s="460"/>
      <c r="K146" s="461"/>
      <c r="L146" s="494"/>
      <c r="M146" s="134">
        <f>ROUNDUP((VLOOKUP(M$2,'TIS Site Config'!$A$3:$AQ$51,17,FALSE)+1)/3,0)</f>
        <v>3</v>
      </c>
      <c r="N146" s="212">
        <f>ROUNDUP((VLOOKUP(N$2,'TIS Site Config'!$A$3:$AQ$51,17,FALSE)+1)/3,0)</f>
        <v>3</v>
      </c>
      <c r="O146" s="215">
        <f>ROUNDUP((VLOOKUP(O$2,'TIS Site Config'!$A$3:$AQ$51,17,FALSE)+1)/3,0)</f>
        <v>3</v>
      </c>
      <c r="P146" s="309">
        <f>ROUNDUP((VLOOKUP(P$2,'TIS Site Config'!$A$3:$AQ$51,17,FALSE)+1)/3,0)</f>
        <v>3</v>
      </c>
      <c r="Q146" s="212">
        <f>ROUNDUP((VLOOKUP(Q$2,'TIS Site Config'!$A$3:$AQ$51,17,FALSE)+1)/3,0)</f>
        <v>2</v>
      </c>
      <c r="R146" s="134">
        <f>ROUNDUP((VLOOKUP(R$2,'TIS Site Config'!$A$3:$AQ$51,17,FALSE)+1)/3,0)</f>
        <v>3</v>
      </c>
      <c r="S146" s="309">
        <f>ROUNDUP((VLOOKUP(S$2,'TIS Site Config'!$A$3:$AQ$51,17,FALSE)+1)/3,0)</f>
        <v>2</v>
      </c>
      <c r="T146" s="212">
        <f>ROUNDUP((VLOOKUP(T$2,'TIS Site Config'!$A$3:$AQ$51,17,FALSE)+1)/3,0)</f>
        <v>3</v>
      </c>
      <c r="U146" s="134">
        <f>ROUNDUP((VLOOKUP(U$2,'TIS Site Config'!$A$3:$AQ$51,17,FALSE)+1)/3,0)</f>
        <v>2</v>
      </c>
      <c r="V146" s="212">
        <f>ROUNDUP((VLOOKUP(V$2,'TIS Site Config'!$A$3:$AQ$51,17,FALSE)+1)/3,0)</f>
        <v>2</v>
      </c>
      <c r="W146" s="214">
        <f>ROUNDUP((VLOOKUP(W$2,'TIS Site Config'!$A$3:$AQ$51,17,FALSE)+1)/3,0)</f>
        <v>3</v>
      </c>
      <c r="X146" s="309">
        <f>ROUNDUP((VLOOKUP(X$2,'TIS Site Config'!$A$3:$AQ$51,17,FALSE)+1)/3,0)</f>
        <v>3</v>
      </c>
      <c r="Y146" s="212">
        <f>ROUNDUP((VLOOKUP(Y$2,'TIS Site Config'!$A$3:$AQ$51,17,FALSE)+1)/3,0)</f>
        <v>3</v>
      </c>
      <c r="Z146" s="134">
        <f>ROUNDUP((VLOOKUP(Z$2,'TIS Site Config'!$A$3:$AQ$51,17,FALSE)+1)/3,0)</f>
        <v>2</v>
      </c>
      <c r="AA146" s="309">
        <f>ROUNDUP((VLOOKUP(AA$2,'TIS Site Config'!$A$3:$AQ$51,17,FALSE)+1)/3,0)</f>
        <v>3</v>
      </c>
      <c r="AB146" s="212">
        <f>ROUNDUP((VLOOKUP(AB$2,'TIS Site Config'!$A$3:$AQ$51,17,FALSE)+1)/3,0)</f>
        <v>2</v>
      </c>
      <c r="AC146" s="309">
        <f>ROUNDUP((VLOOKUP(AC$2,'TIS Site Config'!$A$3:$AQ$51,17,FALSE)+1)/3,0)</f>
        <v>3</v>
      </c>
      <c r="AD146" s="213">
        <f>ROUNDUP((VLOOKUP(AD$2,'TIS Site Config'!$A$3:$AQ$51,17,FALSE)+1)/3,0)</f>
        <v>3</v>
      </c>
      <c r="AE146" s="213">
        <f>ROUNDUP((VLOOKUP(AE$2,'TIS Site Config'!$A$3:$AQ$51,17,FALSE)+1)/3,0)</f>
        <v>3</v>
      </c>
      <c r="AF146" s="39">
        <f>ROUNDUP((VLOOKUP(AF$2,'TIS Site Config'!$A$3:$AQ$51,17,FALSE)+1)/3,0)</f>
        <v>2</v>
      </c>
      <c r="AG146" s="309">
        <f>ROUNDUP((VLOOKUP(AG$2,'TIS Site Config'!$A$3:$AQ$51,17,FALSE)+1)/3,0)</f>
        <v>3</v>
      </c>
      <c r="AH146" s="212">
        <f>ROUNDUP((VLOOKUP(AH$2,'TIS Site Config'!$A$3:$AQ$51,17,FALSE)+1)/3,0)</f>
        <v>3</v>
      </c>
      <c r="AI146" s="134">
        <f>ROUNDUP((VLOOKUP(AI$2,'TIS Site Config'!$A$3:$AQ$51,17,FALSE)+1)/3,0)</f>
        <v>2</v>
      </c>
      <c r="AJ146" s="309">
        <f>ROUNDUP((VLOOKUP(AJ$2,'TIS Site Config'!$A$3:$AQ$51,17,FALSE)+1)/3,0)</f>
        <v>2</v>
      </c>
      <c r="AK146" s="212">
        <f>ROUNDUP((VLOOKUP(AK$2,'TIS Site Config'!$A$3:$AQ$51,17,FALSE)+1)/3,0)</f>
        <v>2</v>
      </c>
      <c r="AL146" s="134">
        <f>ROUNDUP((VLOOKUP(AL$2,'TIS Site Config'!$A$3:$AQ$51,17,FALSE)+1)/3,0)</f>
        <v>2</v>
      </c>
      <c r="AM146" s="309">
        <f>ROUNDUP((VLOOKUP(AM$2,'TIS Site Config'!$A$3:$AQ$51,17,FALSE)+1)/3,0)</f>
        <v>2</v>
      </c>
      <c r="AN146" s="212">
        <f>ROUNDUP((VLOOKUP(AN$2,'TIS Site Config'!$A$3:$AQ$51,17,FALSE)+1)/3,0)</f>
        <v>2</v>
      </c>
      <c r="AO146" s="134">
        <f>ROUNDUP((VLOOKUP(AO$2,'TIS Site Config'!$A$3:$AQ$51,17,FALSE)+1)/3,0)</f>
        <v>2</v>
      </c>
      <c r="AP146" s="309">
        <f>ROUNDUP((VLOOKUP(AP$2,'TIS Site Config'!$A$3:$AQ$51,17,FALSE)+1)/3,0)</f>
        <v>2</v>
      </c>
      <c r="AQ146" s="134">
        <f>ROUNDUP((VLOOKUP(AQ$2,'TIS Site Config'!$A$3:$AQ$51,17,FALSE)+1)/3,0)</f>
        <v>3</v>
      </c>
      <c r="AR146" s="134">
        <f>ROUNDUP((VLOOKUP(AR$2,'TIS Site Config'!$A$3:$AQ$51,17,FALSE)+1)/3,0)</f>
        <v>2</v>
      </c>
      <c r="AS146" s="309">
        <f>ROUNDUP((VLOOKUP(AS$2,'TIS Site Config'!$A$3:$AQ$51,17,FALSE)+1)/3,0)</f>
        <v>2</v>
      </c>
      <c r="AT146" s="134">
        <f>ROUNDUP((VLOOKUP(AT$2,'TIS Site Config'!$A$3:$AQ$51,17,FALSE)+1)/3,0)</f>
        <v>2</v>
      </c>
      <c r="AU146" s="309">
        <f>ROUNDUP((VLOOKUP(AU$2,'TIS Site Config'!$A$3:$AQ$51,17,FALSE)+1)/3,0)</f>
        <v>2</v>
      </c>
      <c r="AV146" s="134">
        <f>ROUNDUP((VLOOKUP(AV$2,'TIS Site Config'!$A$3:$AQ$51,17,FALSE)+1)/3,0)</f>
        <v>2</v>
      </c>
      <c r="AW146" s="134">
        <f>ROUNDUP((VLOOKUP(AW$2,'TIS Site Config'!$A$3:$AQ$51,17,FALSE)+1)/3,0)</f>
        <v>3</v>
      </c>
      <c r="AX146" s="212">
        <f>ROUNDUP((VLOOKUP(AX$2,'TIS Site Config'!$A$3:$AQ$51,17,FALSE)+1)/3,0)</f>
        <v>2</v>
      </c>
      <c r="AY146" s="134">
        <f>ROUNDUP((VLOOKUP(AY$2,'TIS Site Config'!$A$3:$AQ$51,17,FALSE)+1)/3,0)</f>
        <v>3</v>
      </c>
      <c r="AZ146" s="309">
        <f>ROUNDUP((VLOOKUP(AZ$2,'TIS Site Config'!$A$3:$AQ$51,17,FALSE)+1)/3,0)</f>
        <v>3</v>
      </c>
      <c r="BA146" s="213">
        <f>ROUNDUP((VLOOKUP(BA$2,'TIS Site Config'!$A$3:$AQ$51,17,FALSE)+1)/3,0)</f>
        <v>3</v>
      </c>
      <c r="BB146" s="134">
        <f>ROUNDUP((VLOOKUP(BB$2,'TIS Site Config'!$A$3:$AQ$51,17,FALSE)+1)/3,0)</f>
        <v>2</v>
      </c>
      <c r="BC146" s="212">
        <f>ROUNDUP((VLOOKUP(BC$2,'TIS Site Config'!$A$3:$AQ$51,17,FALSE)+1)/3,0)</f>
        <v>2</v>
      </c>
      <c r="BD146" s="134">
        <f>ROUNDUP((VLOOKUP(BD$2,'TIS Site Config'!$A$3:$AQ$51,17,FALSE)+1)/3,0)</f>
        <v>2</v>
      </c>
      <c r="BE146" s="309">
        <f>ROUNDUP((VLOOKUP(BE$2,'TIS Site Config'!$A$3:$AQ$51,17,FALSE)+1)/3,0)</f>
        <v>2</v>
      </c>
      <c r="BF146" s="212">
        <f>ROUNDUP((VLOOKUP(BF$2,'TIS Site Config'!$A$3:$AQ$51,17,FALSE)+1)/3,0)</f>
        <v>2</v>
      </c>
      <c r="BG146" s="60">
        <f>ROUNDUP((VLOOKUP(BG$2,'TIS Site Config'!$A$3:$AQ$51,17,FALSE)+1)/3,0)</f>
        <v>3</v>
      </c>
      <c r="BH146" s="60">
        <f>ROUNDUP((VLOOKUP(BH$2,'TIS Site Config'!$A$3:$AQ$51,17,FALSE)+1)/3,0)</f>
        <v>2</v>
      </c>
      <c r="BK146" s="44">
        <v>145</v>
      </c>
      <c r="BL146" s="950" t="b">
        <f t="shared" si="13"/>
        <v>0</v>
      </c>
      <c r="BO146" s="950"/>
    </row>
    <row r="147" spans="1:67" s="10" customFormat="1" ht="15.75" thickBot="1" x14ac:dyDescent="0.3">
      <c r="A147" s="1330"/>
      <c r="B147" s="1261"/>
      <c r="C147" s="57" t="s">
        <v>539</v>
      </c>
      <c r="D147" s="90">
        <v>3</v>
      </c>
      <c r="E147" s="84" t="s">
        <v>548</v>
      </c>
      <c r="F147" s="62">
        <f t="shared" si="12"/>
        <v>2</v>
      </c>
      <c r="G147" s="450"/>
      <c r="H147" s="451"/>
      <c r="I147" s="451"/>
      <c r="J147" s="451"/>
      <c r="K147" s="452">
        <v>1</v>
      </c>
      <c r="L147" s="494"/>
      <c r="M147" s="134">
        <f>MAX(0,ROUNDUP((VLOOKUP(M$2,'TIS Site Config'!$A$3:$AQ$51,17,FALSE)-6)/2,0))</f>
        <v>0</v>
      </c>
      <c r="N147" s="212">
        <f>MAX(0,ROUNDUP((VLOOKUP(N$2,'TIS Site Config'!$A$3:$AQ$51,17,FALSE)-6)/2,0))</f>
        <v>0</v>
      </c>
      <c r="O147" s="215">
        <f>MAX(0,ROUNDUP((VLOOKUP(O$2,'TIS Site Config'!$A$3:$AQ$51,17,FALSE)-6)/2,0))</f>
        <v>0</v>
      </c>
      <c r="P147" s="309">
        <f>MAX(0,ROUNDUP((VLOOKUP(P$2,'TIS Site Config'!$A$3:$AQ$51,17,FALSE)-6)/2,0))</f>
        <v>0</v>
      </c>
      <c r="Q147" s="212">
        <f>MAX(0,ROUNDUP((VLOOKUP(Q$2,'TIS Site Config'!$A$3:$AQ$51,17,FALSE)-6)/2,0))</f>
        <v>0</v>
      </c>
      <c r="R147" s="134">
        <f>MAX(0,ROUNDUP((VLOOKUP(R$2,'TIS Site Config'!$A$3:$AQ$51,17,FALSE)-6)/2,0))</f>
        <v>0</v>
      </c>
      <c r="S147" s="309">
        <f>MAX(0,ROUNDUP((VLOOKUP(S$2,'TIS Site Config'!$A$3:$AQ$51,17,FALSE)-6)/2,0))</f>
        <v>0</v>
      </c>
      <c r="T147" s="212">
        <f>MAX(0,ROUNDUP((VLOOKUP(T$2,'TIS Site Config'!$A$3:$AQ$51,17,FALSE)-6)/2,0))</f>
        <v>0</v>
      </c>
      <c r="U147" s="134">
        <f>MAX(0,ROUNDUP((VLOOKUP(U$2,'TIS Site Config'!$A$3:$AQ$51,17,FALSE)-6)/2,0))</f>
        <v>0</v>
      </c>
      <c r="V147" s="212">
        <f>MAX(0,ROUNDUP((VLOOKUP(V$2,'TIS Site Config'!$A$3:$AQ$51,17,FALSE)-6)/2,0))</f>
        <v>0</v>
      </c>
      <c r="W147" s="214">
        <f>MAX(0,ROUNDUP((VLOOKUP(W$2,'TIS Site Config'!$A$3:$AQ$51,17,FALSE)-6)/2,0))</f>
        <v>0</v>
      </c>
      <c r="X147" s="309">
        <f>MAX(0,ROUNDUP((VLOOKUP(X$2,'TIS Site Config'!$A$3:$AQ$51,17,FALSE)-6)/2,0))</f>
        <v>0</v>
      </c>
      <c r="Y147" s="212">
        <f>MAX(0,ROUNDUP((VLOOKUP(Y$2,'TIS Site Config'!$A$3:$AQ$51,17,FALSE)-6)/2,0))</f>
        <v>0</v>
      </c>
      <c r="Z147" s="134">
        <f>MAX(0,ROUNDUP((VLOOKUP(Z$2,'TIS Site Config'!$A$3:$AQ$51,17,FALSE)-6)/2,0))</f>
        <v>0</v>
      </c>
      <c r="AA147" s="309">
        <f>MAX(0,ROUNDUP((VLOOKUP(AA$2,'TIS Site Config'!$A$3:$AQ$51,17,FALSE)-6)/2,0))</f>
        <v>0</v>
      </c>
      <c r="AB147" s="212">
        <f>MAX(0,ROUNDUP((VLOOKUP(AB$2,'TIS Site Config'!$A$3:$AQ$51,17,FALSE)-6)/2,0))</f>
        <v>0</v>
      </c>
      <c r="AC147" s="309">
        <f>MAX(0,ROUNDUP((VLOOKUP(AC$2,'TIS Site Config'!$A$3:$AQ$51,17,FALSE)-6)/2,0))</f>
        <v>0</v>
      </c>
      <c r="AD147" s="213">
        <f>MAX(0,ROUNDUP((VLOOKUP(AD$2,'TIS Site Config'!$A$3:$AQ$51,17,FALSE)-6)/2,0))</f>
        <v>0</v>
      </c>
      <c r="AE147" s="213">
        <f>MAX(0,ROUNDUP((VLOOKUP(AE$2,'TIS Site Config'!$A$3:$AQ$51,17,FALSE)-6)/2,0))</f>
        <v>0</v>
      </c>
      <c r="AF147" s="39">
        <f>MAX(0,ROUNDUP((VLOOKUP(AF$2,'TIS Site Config'!$A$3:$AQ$51,17,FALSE)-6)/2,0))</f>
        <v>0</v>
      </c>
      <c r="AG147" s="309">
        <f>MAX(0,ROUNDUP((VLOOKUP(AG$2,'TIS Site Config'!$A$3:$AQ$51,17,FALSE)-6)/2,0))</f>
        <v>0</v>
      </c>
      <c r="AH147" s="212">
        <f>MAX(0,ROUNDUP((VLOOKUP(AH$2,'TIS Site Config'!$A$3:$AQ$51,17,FALSE)-6)/2,0))</f>
        <v>0</v>
      </c>
      <c r="AI147" s="134">
        <f>MAX(0,ROUNDUP((VLOOKUP(AI$2,'TIS Site Config'!$A$3:$AQ$51,17,FALSE)-6)/2,0))</f>
        <v>0</v>
      </c>
      <c r="AJ147" s="309">
        <f>MAX(0,ROUNDUP((VLOOKUP(AJ$2,'TIS Site Config'!$A$3:$AQ$51,17,FALSE)-6)/2,0))</f>
        <v>0</v>
      </c>
      <c r="AK147" s="212">
        <f>MAX(0,ROUNDUP((VLOOKUP(AK$2,'TIS Site Config'!$A$3:$AQ$51,17,FALSE)-6)/2,0))</f>
        <v>0</v>
      </c>
      <c r="AL147" s="134">
        <f>MAX(0,ROUNDUP((VLOOKUP(AL$2,'TIS Site Config'!$A$3:$AQ$51,17,FALSE)-6)/2,0))</f>
        <v>0</v>
      </c>
      <c r="AM147" s="309">
        <f>MAX(0,ROUNDUP((VLOOKUP(AM$2,'TIS Site Config'!$A$3:$AQ$51,17,FALSE)-6)/2,0))</f>
        <v>0</v>
      </c>
      <c r="AN147" s="212">
        <f>MAX(0,ROUNDUP((VLOOKUP(AN$2,'TIS Site Config'!$A$3:$AQ$51,17,FALSE)-6)/2,0))</f>
        <v>0</v>
      </c>
      <c r="AO147" s="134">
        <f>MAX(0,ROUNDUP((VLOOKUP(AO$2,'TIS Site Config'!$A$3:$AQ$51,17,FALSE)-6)/2,0))</f>
        <v>0</v>
      </c>
      <c r="AP147" s="309">
        <f>MAX(0,ROUNDUP((VLOOKUP(AP$2,'TIS Site Config'!$A$3:$AQ$51,17,FALSE)-6)/2,0))</f>
        <v>0</v>
      </c>
      <c r="AQ147" s="134">
        <f>MAX(0,ROUNDUP((VLOOKUP(AQ$2,'TIS Site Config'!$A$3:$AQ$51,17,FALSE)-6)/2,0))</f>
        <v>0</v>
      </c>
      <c r="AR147" s="134">
        <f>MAX(0,ROUNDUP((VLOOKUP(AR$2,'TIS Site Config'!$A$3:$AQ$51,17,FALSE)-6)/2,0))</f>
        <v>0</v>
      </c>
      <c r="AS147" s="309">
        <f>MAX(0,ROUNDUP((VLOOKUP(AS$2,'TIS Site Config'!$A$3:$AQ$51,17,FALSE)-6)/2,0))</f>
        <v>0</v>
      </c>
      <c r="AT147" s="134">
        <f>MAX(0,ROUNDUP((VLOOKUP(AT$2,'TIS Site Config'!$A$3:$AQ$51,17,FALSE)-6)/2,0))</f>
        <v>0</v>
      </c>
      <c r="AU147" s="309">
        <f>MAX(0,ROUNDUP((VLOOKUP(AU$2,'TIS Site Config'!$A$3:$AQ$51,17,FALSE)-6)/2,0))</f>
        <v>0</v>
      </c>
      <c r="AV147" s="134">
        <f>MAX(0,ROUNDUP((VLOOKUP(AV$2,'TIS Site Config'!$A$3:$AQ$51,17,FALSE)-6)/2,0))</f>
        <v>0</v>
      </c>
      <c r="AW147" s="134">
        <f>MAX(0,ROUNDUP((VLOOKUP(AW$2,'TIS Site Config'!$A$3:$AQ$51,17,FALSE)-6)/2,0))</f>
        <v>1</v>
      </c>
      <c r="AX147" s="212">
        <f>MAX(0,ROUNDUP((VLOOKUP(AX$2,'TIS Site Config'!$A$3:$AQ$51,17,FALSE)-6)/2,0))</f>
        <v>0</v>
      </c>
      <c r="AY147" s="134">
        <f>MAX(0,ROUNDUP((VLOOKUP(AY$2,'TIS Site Config'!$A$3:$AQ$51,17,FALSE)-6)/2,0))</f>
        <v>0</v>
      </c>
      <c r="AZ147" s="309">
        <f>MAX(0,ROUNDUP((VLOOKUP(AZ$2,'TIS Site Config'!$A$3:$AQ$51,17,FALSE)-6)/2,0))</f>
        <v>0</v>
      </c>
      <c r="BA147" s="213">
        <f>MAX(0,ROUNDUP((VLOOKUP(BA$2,'TIS Site Config'!$A$3:$AQ$51,17,FALSE)-6)/2,0))</f>
        <v>1</v>
      </c>
      <c r="BB147" s="134">
        <f>MAX(0,ROUNDUP((VLOOKUP(BB$2,'TIS Site Config'!$A$3:$AQ$51,17,FALSE)-6)/2,0))</f>
        <v>0</v>
      </c>
      <c r="BC147" s="212">
        <f>MAX(0,ROUNDUP((VLOOKUP(BC$2,'TIS Site Config'!$A$3:$AQ$51,17,FALSE)-6)/2,0))</f>
        <v>0</v>
      </c>
      <c r="BD147" s="134">
        <f>MAX(0,ROUNDUP((VLOOKUP(BD$2,'TIS Site Config'!$A$3:$AQ$51,17,FALSE)-6)/2,0))</f>
        <v>0</v>
      </c>
      <c r="BE147" s="309">
        <f>MAX(0,ROUNDUP((VLOOKUP(BE$2,'TIS Site Config'!$A$3:$AQ$51,17,FALSE)-6)/2,0))</f>
        <v>0</v>
      </c>
      <c r="BF147" s="212">
        <f>MAX(0,ROUNDUP((VLOOKUP(BF$2,'TIS Site Config'!$A$3:$AQ$51,17,FALSE)-6)/2,0))</f>
        <v>0</v>
      </c>
      <c r="BG147" s="60">
        <f>MAX(0,ROUNDUP((VLOOKUP(BG$2,'TIS Site Config'!$A$3:$AQ$51,17,FALSE)-6)/2,0))</f>
        <v>0</v>
      </c>
      <c r="BH147" s="60">
        <f>MAX(0,ROUNDUP((VLOOKUP(BH$2,'TIS Site Config'!$A$3:$AQ$51,17,FALSE)-6)/2,0))</f>
        <v>0</v>
      </c>
      <c r="BK147" s="10">
        <v>2</v>
      </c>
      <c r="BL147" s="950" t="b">
        <f t="shared" si="13"/>
        <v>1</v>
      </c>
      <c r="BO147" s="950"/>
    </row>
    <row r="148" spans="1:67" s="44" customFormat="1" ht="15.75" thickTop="1" x14ac:dyDescent="0.25">
      <c r="A148" s="1330"/>
      <c r="B148" s="1260" t="s">
        <v>394</v>
      </c>
      <c r="C148" s="64" t="s">
        <v>582</v>
      </c>
      <c r="D148" s="65">
        <v>3</v>
      </c>
      <c r="E148" s="111" t="s">
        <v>581</v>
      </c>
      <c r="F148" s="65">
        <f t="shared" si="12"/>
        <v>142</v>
      </c>
      <c r="G148" s="447"/>
      <c r="H148" s="448"/>
      <c r="I148" s="448"/>
      <c r="J148" s="448"/>
      <c r="K148" s="449"/>
      <c r="L148" s="490"/>
      <c r="M148" s="139">
        <f>IF(VLOOKUP(M$2,'TIS Site Config'!$A$4:$AQ$51,3,FALSE)&lt;&gt;"Soft",
   ROUNDUP(VLOOKUP(M$2,'Tubing calculator'!$A$4:$AD$51,30,FALSE)/500,0),
  0)</f>
        <v>4</v>
      </c>
      <c r="N148" s="240">
        <f>IF(VLOOKUP(N$2,'TIS Site Config'!$A$4:$AQ$51,3,FALSE)&lt;&gt;"Soft",
   ROUNDUP(VLOOKUP(N$2,'Tubing calculator'!$A$4:$AD$51,30,FALSE)/500,0),
  0)</f>
        <v>4</v>
      </c>
      <c r="O148" s="244">
        <f>IF(VLOOKUP(O$2,'TIS Site Config'!$A$4:$AQ$51,3,FALSE)&lt;&gt;"Soft",
   ROUNDUP(VLOOKUP(O$2,'Tubing calculator'!$A$4:$AD$51,30,FALSE)/500,0),
  0)</f>
        <v>4</v>
      </c>
      <c r="P148" s="239">
        <f>IF(VLOOKUP(P$2,'TIS Site Config'!$A$4:$AQ$51,3,FALSE)&lt;&gt;"Soft",
   ROUNDUP(VLOOKUP(P$2,'Tubing calculator'!$A$4:$AD$51,30,FALSE)/500,0),
  0)</f>
        <v>5</v>
      </c>
      <c r="Q148" s="240">
        <f>IF(VLOOKUP(Q$2,'TIS Site Config'!$A$4:$AQ$51,3,FALSE)&lt;&gt;"Soft",
   ROUNDUP(VLOOKUP(Q$2,'Tubing calculator'!$A$4:$AD$51,30,FALSE)/500,0),
  0)</f>
        <v>2</v>
      </c>
      <c r="R148" s="139">
        <f>IF(VLOOKUP(R$2,'TIS Site Config'!$A$4:$AQ$51,3,FALSE)&lt;&gt;"Soft",
   ROUNDUP(VLOOKUP(R$2,'Tubing calculator'!$A$4:$AD$51,30,FALSE)/500,0),
  0)</f>
        <v>4</v>
      </c>
      <c r="S148" s="239">
        <f>IF(VLOOKUP(S$2,'TIS Site Config'!$A$4:$AQ$51,3,FALSE)&lt;&gt;"Soft",
   ROUNDUP(VLOOKUP(S$2,'Tubing calculator'!$A$4:$AD$51,30,FALSE)/500,0),
  0)</f>
        <v>2</v>
      </c>
      <c r="T148" s="240">
        <f>IF(VLOOKUP(T$2,'TIS Site Config'!$A$4:$AQ$51,3,FALSE)&lt;&gt;"Soft",
   ROUNDUP(VLOOKUP(T$2,'Tubing calculator'!$A$4:$AD$51,30,FALSE)/500,0),
  0)</f>
        <v>4</v>
      </c>
      <c r="U148" s="139">
        <f>IF(VLOOKUP(U$2,'TIS Site Config'!$A$4:$AQ$51,3,FALSE)&lt;&gt;"Soft",
   ROUNDUP(VLOOKUP(U$2,'Tubing calculator'!$A$4:$AD$51,30,FALSE)/500,0),
  0)</f>
        <v>3</v>
      </c>
      <c r="V148" s="240">
        <f>IF(VLOOKUP(V$2,'TIS Site Config'!$A$4:$AQ$51,3,FALSE)&lt;&gt;"Soft",
   ROUNDUP(VLOOKUP(V$2,'Tubing calculator'!$A$4:$AD$51,30,FALSE)/500,0),
  0)</f>
        <v>2</v>
      </c>
      <c r="W148" s="243">
        <f>IF(VLOOKUP(W$2,'TIS Site Config'!$A$4:$AQ$51,3,FALSE)&lt;&gt;"Soft",
   ROUNDUP(VLOOKUP(W$2,'Tubing calculator'!$A$4:$AD$51,30,FALSE)/500,0),
  0)</f>
        <v>4</v>
      </c>
      <c r="X148" s="239">
        <f>IF(VLOOKUP(X$2,'TIS Site Config'!$A$4:$AQ$51,3,FALSE)&lt;&gt;"Soft",
   ROUNDUP(VLOOKUP(X$2,'Tubing calculator'!$A$4:$AD$51,30,FALSE)/500,0),
  0)</f>
        <v>3</v>
      </c>
      <c r="Y148" s="240">
        <f>IF(VLOOKUP(Y$2,'TIS Site Config'!$A$4:$AQ$51,3,FALSE)&lt;&gt;"Soft",
   ROUNDUP(VLOOKUP(Y$2,'Tubing calculator'!$A$4:$AD$51,30,FALSE)/500,0),
  0)</f>
        <v>4</v>
      </c>
      <c r="Z148" s="139">
        <f>IF(VLOOKUP(Z$2,'TIS Site Config'!$A$4:$AQ$51,3,FALSE)&lt;&gt;"Soft",
   ROUNDUP(VLOOKUP(Z$2,'Tubing calculator'!$A$4:$AD$51,30,FALSE)/500,0),
  0)</f>
        <v>2</v>
      </c>
      <c r="AA148" s="239">
        <f>IF(VLOOKUP(AA$2,'TIS Site Config'!$A$4:$AQ$51,3,FALSE)&lt;&gt;"Soft",
   ROUNDUP(VLOOKUP(AA$2,'Tubing calculator'!$A$4:$AD$51,30,FALSE)/500,0),
  0)</f>
        <v>4</v>
      </c>
      <c r="AB148" s="240">
        <f>IF(VLOOKUP(AB$2,'TIS Site Config'!$A$4:$AQ$51,3,FALSE)&lt;&gt;"Soft",
   ROUNDUP(VLOOKUP(AB$2,'Tubing calculator'!$A$4:$AD$51,30,FALSE)/500,0),
  0)</f>
        <v>2</v>
      </c>
      <c r="AC148" s="239">
        <f>IF(VLOOKUP(AC$2,'TIS Site Config'!$A$4:$AQ$51,3,FALSE)&lt;&gt;"Soft",
   ROUNDUP(VLOOKUP(AC$2,'Tubing calculator'!$A$4:$AD$51,30,FALSE)/500,0),
  0)</f>
        <v>4</v>
      </c>
      <c r="AD148" s="241">
        <f>IF(VLOOKUP(AD$2,'TIS Site Config'!$A$4:$AQ$51,3,FALSE)&lt;&gt;"Soft",
   ROUNDUP(VLOOKUP(AD$2,'Tubing calculator'!$A$4:$AD$51,30,FALSE)/500,0),
  0)</f>
        <v>3</v>
      </c>
      <c r="AE148" s="241">
        <f>IF(VLOOKUP(AE$2,'TIS Site Config'!$A$4:$AQ$51,3,FALSE)&lt;&gt;"Soft",
   ROUNDUP(VLOOKUP(AE$2,'Tubing calculator'!$A$4:$AD$51,30,FALSE)/500,0),
  0)</f>
        <v>4</v>
      </c>
      <c r="AF148" s="242">
        <f>IF(VLOOKUP(AF$2,'TIS Site Config'!$A$4:$AQ$51,3,FALSE)&lt;&gt;"Soft",
   ROUNDUP(VLOOKUP(AF$2,'Tubing calculator'!$A$4:$AD$51,30,FALSE)/500,0),
  0)</f>
        <v>4</v>
      </c>
      <c r="AG148" s="239">
        <f>IF(VLOOKUP(AG$2,'TIS Site Config'!$A$4:$AQ$51,3,FALSE)&lt;&gt;"Soft",
   ROUNDUP(VLOOKUP(AG$2,'Tubing calculator'!$A$4:$AD$51,30,FALSE)/500,0),
  0)</f>
        <v>4</v>
      </c>
      <c r="AH148" s="240">
        <f>IF(VLOOKUP(AH$2,'TIS Site Config'!$A$4:$AQ$51,3,FALSE)&lt;&gt;"Soft",
   ROUNDUP(VLOOKUP(AH$2,'Tubing calculator'!$A$4:$AD$51,30,FALSE)/500,0),
  0)</f>
        <v>4</v>
      </c>
      <c r="AI148" s="139">
        <f>IF(VLOOKUP(AI$2,'TIS Site Config'!$A$4:$AQ$51,3,FALSE)&lt;&gt;"Soft",
   ROUNDUP(VLOOKUP(AI$2,'Tubing calculator'!$A$4:$AD$51,30,FALSE)/500,0),
  0)</f>
        <v>2</v>
      </c>
      <c r="AJ148" s="239">
        <f>IF(VLOOKUP(AJ$2,'TIS Site Config'!$A$4:$AQ$51,3,FALSE)&lt;&gt;"Soft",
   ROUNDUP(VLOOKUP(AJ$2,'Tubing calculator'!$A$4:$AD$51,30,FALSE)/500,0),
  0)</f>
        <v>2</v>
      </c>
      <c r="AK148" s="240">
        <f>IF(VLOOKUP(AK$2,'TIS Site Config'!$A$4:$AQ$51,3,FALSE)&lt;&gt;"Soft",
   ROUNDUP(VLOOKUP(AK$2,'Tubing calculator'!$A$4:$AD$51,30,FALSE)/500,0),
  0)</f>
        <v>2</v>
      </c>
      <c r="AL148" s="139">
        <f>IF(VLOOKUP(AL$2,'TIS Site Config'!$A$4:$AQ$51,3,FALSE)&lt;&gt;"Soft",
   ROUNDUP(VLOOKUP(AL$2,'Tubing calculator'!$A$4:$AD$51,30,FALSE)/500,0),
  0)</f>
        <v>2</v>
      </c>
      <c r="AM148" s="239">
        <f>IF(VLOOKUP(AM$2,'TIS Site Config'!$A$4:$AQ$51,3,FALSE)&lt;&gt;"Soft",
   ROUNDUP(VLOOKUP(AM$2,'Tubing calculator'!$A$4:$AD$51,30,FALSE)/500,0),
  0)</f>
        <v>2</v>
      </c>
      <c r="AN148" s="240">
        <f>IF(VLOOKUP(AN$2,'TIS Site Config'!$A$4:$AQ$51,3,FALSE)&lt;&gt;"Soft",
   ROUNDUP(VLOOKUP(AN$2,'Tubing calculator'!$A$4:$AD$51,30,FALSE)/500,0),
  0)</f>
        <v>3</v>
      </c>
      <c r="AO148" s="139">
        <f>IF(VLOOKUP(AO$2,'TIS Site Config'!$A$4:$AQ$51,3,FALSE)&lt;&gt;"Soft",
   ROUNDUP(VLOOKUP(AO$2,'Tubing calculator'!$A$4:$AD$51,30,FALSE)/500,0),
  0)</f>
        <v>3</v>
      </c>
      <c r="AP148" s="239">
        <f>IF(VLOOKUP(AP$2,'TIS Site Config'!$A$4:$AQ$51,3,FALSE)&lt;&gt;"Soft",
   ROUNDUP(VLOOKUP(AP$2,'Tubing calculator'!$A$4:$AD$51,30,FALSE)/500,0),
  0)</f>
        <v>2</v>
      </c>
      <c r="AQ148" s="139">
        <f>IF(VLOOKUP(AQ$2,'TIS Site Config'!$A$4:$AQ$51,3,FALSE)&lt;&gt;"Soft",
   ROUNDUP(VLOOKUP(AQ$2,'Tubing calculator'!$A$4:$AD$51,30,FALSE)/500,0),
  0)</f>
        <v>3</v>
      </c>
      <c r="AR148" s="139">
        <f>IF(VLOOKUP(AR$2,'TIS Site Config'!$A$4:$AQ$51,3,FALSE)&lt;&gt;"Soft",
   ROUNDUP(VLOOKUP(AR$2,'Tubing calculator'!$A$4:$AD$51,30,FALSE)/500,0),
  0)</f>
        <v>2</v>
      </c>
      <c r="AS148" s="239">
        <f>IF(VLOOKUP(AS$2,'TIS Site Config'!$A$4:$AQ$51,3,FALSE)&lt;&gt;"Soft",
   ROUNDUP(VLOOKUP(AS$2,'Tubing calculator'!$A$4:$AD$51,30,FALSE)/500,0),
  0)</f>
        <v>2</v>
      </c>
      <c r="AT148" s="139">
        <f>IF(VLOOKUP(AT$2,'TIS Site Config'!$A$4:$AQ$51,3,FALSE)&lt;&gt;"Soft",
   ROUNDUP(VLOOKUP(AT$2,'Tubing calculator'!$A$4:$AD$51,30,FALSE)/500,0),
  0)</f>
        <v>2</v>
      </c>
      <c r="AU148" s="239">
        <f>IF(VLOOKUP(AU$2,'TIS Site Config'!$A$4:$AQ$51,3,FALSE)&lt;&gt;"Soft",
   ROUNDUP(VLOOKUP(AU$2,'Tubing calculator'!$A$4:$AD$51,30,FALSE)/500,0),
  0)</f>
        <v>2</v>
      </c>
      <c r="AV148" s="139">
        <f>IF(VLOOKUP(AV$2,'TIS Site Config'!$A$4:$AQ$51,3,FALSE)&lt;&gt;"Soft",
   ROUNDUP(VLOOKUP(AV$2,'Tubing calculator'!$A$4:$AD$51,30,FALSE)/500,0),
  0)</f>
        <v>2</v>
      </c>
      <c r="AW148" s="139">
        <f>IF(VLOOKUP(AW$2,'TIS Site Config'!$A$4:$AQ$51,3,FALSE)&lt;&gt;"Soft",
   ROUNDUP(VLOOKUP(AW$2,'Tubing calculator'!$A$4:$AD$51,30,FALSE)/500,0),
  0)</f>
        <v>5</v>
      </c>
      <c r="AX148" s="240">
        <f>IF(VLOOKUP(AX$2,'TIS Site Config'!$A$4:$AQ$51,3,FALSE)&lt;&gt;"Soft",
   ROUNDUP(VLOOKUP(AX$2,'Tubing calculator'!$A$4:$AD$51,30,FALSE)/500,0),
  0)</f>
        <v>3</v>
      </c>
      <c r="AY148" s="139">
        <f>IF(VLOOKUP(AY$2,'TIS Site Config'!$A$4:$AQ$51,3,FALSE)&lt;&gt;"Soft",
   ROUNDUP(VLOOKUP(AY$2,'Tubing calculator'!$A$4:$AD$51,30,FALSE)/500,0),
  0)</f>
        <v>4</v>
      </c>
      <c r="AZ148" s="239">
        <f>IF(VLOOKUP(AZ$2,'TIS Site Config'!$A$4:$AQ$51,3,FALSE)&lt;&gt;"Soft",
   ROUNDUP(VLOOKUP(AZ$2,'Tubing calculator'!$A$4:$AD$51,30,FALSE)/500,0),
  0)</f>
        <v>4</v>
      </c>
      <c r="BA148" s="241">
        <f>IF(VLOOKUP(BA$2,'TIS Site Config'!$A$4:$AQ$51,3,FALSE)&lt;&gt;"Soft",
   ROUNDUP(VLOOKUP(BA$2,'Tubing calculator'!$A$4:$AD$51,30,FALSE)/500,0),
  0)</f>
        <v>4</v>
      </c>
      <c r="BB148" s="139">
        <f>IF(VLOOKUP(BB$2,'TIS Site Config'!$A$4:$AQ$51,3,FALSE)&lt;&gt;"Soft",
   ROUNDUP(VLOOKUP(BB$2,'Tubing calculator'!$A$4:$AD$51,30,FALSE)/500,0),
  0)</f>
        <v>2</v>
      </c>
      <c r="BC148" s="240">
        <f>IF(VLOOKUP(BC$2,'TIS Site Config'!$A$4:$AQ$51,3,FALSE)&lt;&gt;"Soft",
   ROUNDUP(VLOOKUP(BC$2,'Tubing calculator'!$A$4:$AD$51,30,FALSE)/500,0),
  0)</f>
        <v>2</v>
      </c>
      <c r="BD148" s="139">
        <f>IF(VLOOKUP(BD$2,'TIS Site Config'!$A$4:$AQ$51,3,FALSE)&lt;&gt;"Soft",
   ROUNDUP(VLOOKUP(BD$2,'Tubing calculator'!$A$4:$AD$51,30,FALSE)/500,0),
  0)</f>
        <v>3</v>
      </c>
      <c r="BE148" s="239">
        <f>IF(VLOOKUP(BE$2,'TIS Site Config'!$A$4:$AQ$51,3,FALSE)&lt;&gt;"Soft",
   ROUNDUP(VLOOKUP(BE$2,'Tubing calculator'!$A$4:$AD$51,30,FALSE)/500,0),
  0)</f>
        <v>3</v>
      </c>
      <c r="BF148" s="240">
        <f>IF(VLOOKUP(BF$2,'TIS Site Config'!$A$4:$AQ$51,3,FALSE)&lt;&gt;"Soft",
   ROUNDUP(VLOOKUP(BF$2,'Tubing calculator'!$A$4:$AD$51,30,FALSE)/500,0),
  0)</f>
        <v>2</v>
      </c>
      <c r="BG148" s="65">
        <f>IF(VLOOKUP(BG$2,'TIS Site Config'!$A$4:$AQ$51,3,FALSE)&lt;&gt;"Soft",
   ROUNDUP(VLOOKUP(BG$2,'Tubing calculator'!$A$4:$AD$51,30,FALSE)/500,0),
  0)</f>
        <v>3</v>
      </c>
      <c r="BH148" s="65">
        <f>IF(VLOOKUP(BH$2,'TIS Site Config'!$A$4:$AQ$51,3,FALSE)&lt;&gt;"Soft",
   ROUNDUP(VLOOKUP(BH$2,'Tubing calculator'!$A$4:$AD$51,30,FALSE)/500,0),
  0)</f>
        <v>2</v>
      </c>
      <c r="BK148" s="44">
        <v>170</v>
      </c>
      <c r="BL148" s="950" t="b">
        <f t="shared" si="13"/>
        <v>0</v>
      </c>
      <c r="BO148" s="950"/>
    </row>
    <row r="149" spans="1:67" s="10" customFormat="1" ht="15.75" thickBot="1" x14ac:dyDescent="0.3">
      <c r="A149" s="1331"/>
      <c r="B149" s="1262"/>
      <c r="C149" s="75" t="s">
        <v>522</v>
      </c>
      <c r="D149" s="98">
        <v>3</v>
      </c>
      <c r="E149" s="117" t="s">
        <v>444</v>
      </c>
      <c r="F149" s="265">
        <f t="shared" si="12"/>
        <v>47</v>
      </c>
      <c r="G149" s="482"/>
      <c r="H149" s="483"/>
      <c r="I149" s="483"/>
      <c r="J149" s="483"/>
      <c r="K149" s="484">
        <v>3</v>
      </c>
      <c r="L149" s="503"/>
      <c r="M149" s="143">
        <f>1</f>
        <v>1</v>
      </c>
      <c r="N149" s="262">
        <f>1</f>
        <v>1</v>
      </c>
      <c r="O149" s="267">
        <f>1</f>
        <v>1</v>
      </c>
      <c r="P149" s="301">
        <f>1</f>
        <v>1</v>
      </c>
      <c r="Q149" s="262">
        <f>1</f>
        <v>1</v>
      </c>
      <c r="R149" s="143">
        <f>1</f>
        <v>1</v>
      </c>
      <c r="S149" s="301">
        <f>1</f>
        <v>1</v>
      </c>
      <c r="T149" s="262">
        <f>1</f>
        <v>1</v>
      </c>
      <c r="U149" s="143">
        <f>1</f>
        <v>1</v>
      </c>
      <c r="V149" s="262">
        <f>1</f>
        <v>1</v>
      </c>
      <c r="W149" s="266">
        <f>1</f>
        <v>1</v>
      </c>
      <c r="X149" s="301">
        <f>1</f>
        <v>1</v>
      </c>
      <c r="Y149" s="262">
        <f>1</f>
        <v>1</v>
      </c>
      <c r="Z149" s="143">
        <f>1</f>
        <v>1</v>
      </c>
      <c r="AA149" s="301">
        <f>1</f>
        <v>1</v>
      </c>
      <c r="AB149" s="262">
        <f>1</f>
        <v>1</v>
      </c>
      <c r="AC149" s="301">
        <f>1</f>
        <v>1</v>
      </c>
      <c r="AD149" s="263">
        <f>1</f>
        <v>1</v>
      </c>
      <c r="AE149" s="263">
        <f>1</f>
        <v>1</v>
      </c>
      <c r="AF149" s="264">
        <f>1</f>
        <v>1</v>
      </c>
      <c r="AG149" s="301">
        <f>1</f>
        <v>1</v>
      </c>
      <c r="AH149" s="262">
        <f>1</f>
        <v>1</v>
      </c>
      <c r="AI149" s="143">
        <f>1</f>
        <v>1</v>
      </c>
      <c r="AJ149" s="301">
        <f>1</f>
        <v>1</v>
      </c>
      <c r="AK149" s="262">
        <f>1</f>
        <v>1</v>
      </c>
      <c r="AL149" s="143">
        <f>1</f>
        <v>1</v>
      </c>
      <c r="AM149" s="301">
        <f>1</f>
        <v>1</v>
      </c>
      <c r="AN149" s="262">
        <f>1</f>
        <v>1</v>
      </c>
      <c r="AO149" s="143">
        <f>1</f>
        <v>1</v>
      </c>
      <c r="AP149" s="301">
        <f>1</f>
        <v>1</v>
      </c>
      <c r="AQ149" s="143">
        <f>1</f>
        <v>1</v>
      </c>
      <c r="AR149" s="143">
        <f>1</f>
        <v>1</v>
      </c>
      <c r="AS149" s="301">
        <f>1</f>
        <v>1</v>
      </c>
      <c r="AT149" s="143">
        <f>1</f>
        <v>1</v>
      </c>
      <c r="AU149" s="301">
        <f>1</f>
        <v>1</v>
      </c>
      <c r="AV149" s="143">
        <f>1</f>
        <v>1</v>
      </c>
      <c r="AW149" s="143">
        <f>1</f>
        <v>1</v>
      </c>
      <c r="AX149" s="262">
        <f>1</f>
        <v>1</v>
      </c>
      <c r="AY149" s="143">
        <f>1</f>
        <v>1</v>
      </c>
      <c r="AZ149" s="301">
        <f>1</f>
        <v>1</v>
      </c>
      <c r="BA149" s="263">
        <f>1</f>
        <v>1</v>
      </c>
      <c r="BB149" s="143">
        <f>1</f>
        <v>1</v>
      </c>
      <c r="BC149" s="262">
        <f>1</f>
        <v>1</v>
      </c>
      <c r="BD149" s="143">
        <f>1</f>
        <v>1</v>
      </c>
      <c r="BE149" s="301">
        <f>1</f>
        <v>1</v>
      </c>
      <c r="BF149" s="262">
        <f>1</f>
        <v>1</v>
      </c>
      <c r="BG149" s="265">
        <f>1</f>
        <v>1</v>
      </c>
      <c r="BH149" s="265">
        <f>1</f>
        <v>1</v>
      </c>
      <c r="BK149" s="10">
        <v>60</v>
      </c>
      <c r="BL149" s="950" t="b">
        <f t="shared" si="13"/>
        <v>0</v>
      </c>
      <c r="BO149" s="950"/>
    </row>
    <row r="150" spans="1:67" x14ac:dyDescent="0.25">
      <c r="C150" s="443"/>
      <c r="D150" s="80"/>
      <c r="E150" s="118"/>
      <c r="F150" s="287"/>
      <c r="G150" s="118"/>
      <c r="H150" s="118"/>
      <c r="I150" s="118"/>
      <c r="J150" s="118"/>
      <c r="K150" s="118"/>
      <c r="L150" s="118"/>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47"/>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row>
    <row r="151" spans="1:67" x14ac:dyDescent="0.25">
      <c r="C151" s="438" t="s">
        <v>860</v>
      </c>
      <c r="D151" s="80"/>
      <c r="K151" s="120"/>
      <c r="L151" s="120"/>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7" s="437" customFormat="1" x14ac:dyDescent="0.25">
      <c r="A152" s="7"/>
      <c r="B152" s="4"/>
      <c r="C152" s="439" t="s">
        <v>861</v>
      </c>
      <c r="D152" s="80"/>
      <c r="E152" s="14"/>
      <c r="F152" s="80"/>
      <c r="G152" s="14"/>
      <c r="H152" s="14"/>
      <c r="I152" s="14"/>
      <c r="J152" s="14"/>
      <c r="K152" s="120"/>
      <c r="L152" s="120"/>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148"/>
      <c r="AN152" s="8"/>
      <c r="AO152" s="8"/>
      <c r="AP152" s="8"/>
      <c r="AQ152" s="8"/>
      <c r="AR152" s="8"/>
      <c r="AS152" s="8"/>
      <c r="AT152" s="8"/>
      <c r="AU152" s="8"/>
      <c r="AV152" s="8"/>
      <c r="AW152" s="8"/>
      <c r="AX152" s="8"/>
      <c r="AY152" s="8"/>
      <c r="AZ152" s="8"/>
      <c r="BA152" s="8"/>
      <c r="BB152" s="8"/>
      <c r="BC152" s="8"/>
      <c r="BD152" s="8"/>
      <c r="BE152" s="8"/>
      <c r="BF152" s="8"/>
      <c r="BG152" s="8"/>
      <c r="BH152" s="8"/>
    </row>
    <row r="153" spans="1:67" s="437" customFormat="1" x14ac:dyDescent="0.25">
      <c r="A153" s="7"/>
      <c r="B153" s="4"/>
      <c r="C153" s="440" t="s">
        <v>862</v>
      </c>
      <c r="D153" s="80"/>
      <c r="E153" s="14"/>
      <c r="F153" s="80"/>
      <c r="G153" s="14"/>
      <c r="H153" s="14"/>
      <c r="I153" s="14"/>
      <c r="J153" s="14"/>
      <c r="K153" s="120"/>
      <c r="L153" s="120"/>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148"/>
      <c r="AN153" s="8"/>
      <c r="AO153" s="8"/>
      <c r="AP153" s="8"/>
      <c r="AQ153" s="8"/>
      <c r="AR153" s="8"/>
      <c r="AS153" s="8"/>
      <c r="AT153" s="8"/>
      <c r="AU153" s="8"/>
      <c r="AV153" s="8"/>
      <c r="AW153" s="8"/>
      <c r="AX153" s="8"/>
      <c r="AY153" s="8"/>
      <c r="AZ153" s="8"/>
      <c r="BA153" s="8"/>
      <c r="BB153" s="8"/>
      <c r="BC153" s="8"/>
      <c r="BD153" s="8"/>
      <c r="BE153" s="8"/>
      <c r="BF153" s="8"/>
      <c r="BG153" s="8"/>
      <c r="BH153" s="8"/>
    </row>
    <row r="154" spans="1:67" s="437" customFormat="1" x14ac:dyDescent="0.25">
      <c r="A154" s="7"/>
      <c r="B154" s="4"/>
      <c r="C154" s="441" t="s">
        <v>863</v>
      </c>
      <c r="D154" s="80"/>
      <c r="E154" s="14"/>
      <c r="F154" s="80"/>
      <c r="G154" s="14"/>
      <c r="H154" s="14"/>
      <c r="I154" s="14"/>
      <c r="J154" s="14"/>
      <c r="K154" s="120"/>
      <c r="L154" s="120"/>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148"/>
      <c r="AN154" s="8"/>
      <c r="AO154" s="8"/>
      <c r="AP154" s="8"/>
      <c r="AQ154" s="8"/>
      <c r="AR154" s="8"/>
      <c r="AS154" s="8"/>
      <c r="AT154" s="8"/>
      <c r="AU154" s="8"/>
      <c r="AV154" s="8"/>
      <c r="AW154" s="8"/>
      <c r="AX154" s="8"/>
      <c r="AY154" s="8"/>
      <c r="AZ154" s="8"/>
      <c r="BA154" s="8"/>
      <c r="BB154" s="8"/>
      <c r="BC154" s="8"/>
      <c r="BD154" s="8"/>
      <c r="BE154" s="8"/>
      <c r="BF154" s="8"/>
      <c r="BG154" s="8"/>
      <c r="BH154" s="8"/>
    </row>
    <row r="155" spans="1:67" s="437" customFormat="1" x14ac:dyDescent="0.25">
      <c r="A155" s="7"/>
      <c r="B155" s="4"/>
      <c r="C155" s="442" t="s">
        <v>879</v>
      </c>
      <c r="D155" s="80"/>
      <c r="E155" s="14"/>
      <c r="F155" s="80"/>
      <c r="G155" s="14"/>
      <c r="H155" s="14"/>
      <c r="I155" s="14"/>
      <c r="J155" s="14"/>
      <c r="K155" s="120"/>
      <c r="L155" s="120"/>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148"/>
      <c r="AN155" s="8"/>
      <c r="AO155" s="8"/>
      <c r="AP155" s="8"/>
      <c r="AQ155" s="8"/>
      <c r="AR155" s="8"/>
      <c r="AS155" s="8"/>
      <c r="AT155" s="8"/>
      <c r="AU155" s="8"/>
      <c r="AV155" s="8"/>
      <c r="AW155" s="8"/>
      <c r="AX155" s="8"/>
      <c r="AY155" s="8"/>
      <c r="AZ155" s="8"/>
      <c r="BA155" s="8"/>
      <c r="BB155" s="8"/>
      <c r="BC155" s="8"/>
      <c r="BD155" s="8"/>
      <c r="BE155" s="8"/>
      <c r="BF155" s="8"/>
      <c r="BG155" s="8"/>
      <c r="BH155" s="8"/>
    </row>
    <row r="156" spans="1:67" s="437" customFormat="1" x14ac:dyDescent="0.25">
      <c r="A156" s="7"/>
      <c r="B156" s="4"/>
      <c r="C156" s="321" t="s">
        <v>880</v>
      </c>
      <c r="D156" s="80"/>
      <c r="E156" s="14"/>
      <c r="F156" s="80"/>
      <c r="G156" s="14"/>
      <c r="H156" s="14"/>
      <c r="I156" s="14"/>
      <c r="J156" s="14"/>
      <c r="K156" s="120"/>
      <c r="L156" s="120"/>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148"/>
      <c r="AN156" s="8"/>
      <c r="AO156" s="8"/>
      <c r="AP156" s="8"/>
      <c r="AQ156" s="8"/>
      <c r="AR156" s="8"/>
      <c r="AS156" s="8"/>
      <c r="AT156" s="8"/>
      <c r="AU156" s="8"/>
      <c r="AV156" s="8"/>
      <c r="AW156" s="8"/>
      <c r="AX156" s="8"/>
      <c r="AY156" s="8"/>
      <c r="AZ156" s="8"/>
      <c r="BA156" s="8"/>
      <c r="BB156" s="8"/>
      <c r="BC156" s="8"/>
      <c r="BD156" s="8"/>
      <c r="BE156" s="8"/>
      <c r="BF156" s="8"/>
      <c r="BG156" s="8"/>
      <c r="BH156" s="8"/>
    </row>
    <row r="157" spans="1:67" x14ac:dyDescent="0.25">
      <c r="C157" s="894" t="s">
        <v>864</v>
      </c>
      <c r="D157" s="80"/>
      <c r="K157" s="120"/>
      <c r="L157" s="120"/>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49"/>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row>
    <row r="158" spans="1:67" x14ac:dyDescent="0.25">
      <c r="K158" s="122"/>
      <c r="L158" s="122"/>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49"/>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row>
  </sheetData>
  <autoFilter ref="A2:BG149"/>
  <mergeCells count="52">
    <mergeCell ref="A141:A149"/>
    <mergeCell ref="A139:A140"/>
    <mergeCell ref="A37:A52"/>
    <mergeCell ref="A128:A138"/>
    <mergeCell ref="L1:L2"/>
    <mergeCell ref="K1:K2"/>
    <mergeCell ref="A53:A127"/>
    <mergeCell ref="B103:B108"/>
    <mergeCell ref="B96:B97"/>
    <mergeCell ref="B89:B90"/>
    <mergeCell ref="B99:B100"/>
    <mergeCell ref="B91:B94"/>
    <mergeCell ref="B73:B78"/>
    <mergeCell ref="B141:B147"/>
    <mergeCell ref="B139:B140"/>
    <mergeCell ref="B148:B149"/>
    <mergeCell ref="B87:B88"/>
    <mergeCell ref="B79:B86"/>
    <mergeCell ref="B133:B134"/>
    <mergeCell ref="B109:B126"/>
    <mergeCell ref="B135:B136"/>
    <mergeCell ref="J1:J2"/>
    <mergeCell ref="B37:B39"/>
    <mergeCell ref="F1:F2"/>
    <mergeCell ref="E1:E2"/>
    <mergeCell ref="C1:C2"/>
    <mergeCell ref="I1:I2"/>
    <mergeCell ref="H1:H2"/>
    <mergeCell ref="D1:D2"/>
    <mergeCell ref="G1:G2"/>
    <mergeCell ref="A1:A2"/>
    <mergeCell ref="A13:A16"/>
    <mergeCell ref="B1:B2"/>
    <mergeCell ref="B4:B7"/>
    <mergeCell ref="B14:B16"/>
    <mergeCell ref="B8:B10"/>
    <mergeCell ref="A4:A12"/>
    <mergeCell ref="B11:B12"/>
    <mergeCell ref="A17:A22"/>
    <mergeCell ref="B61:B72"/>
    <mergeCell ref="B19:B22"/>
    <mergeCell ref="B40:B41"/>
    <mergeCell ref="B42:B45"/>
    <mergeCell ref="B46:B49"/>
    <mergeCell ref="B51:B52"/>
    <mergeCell ref="B56:B60"/>
    <mergeCell ref="B17:B18"/>
    <mergeCell ref="A23:A32"/>
    <mergeCell ref="B23:B32"/>
    <mergeCell ref="B53:B55"/>
    <mergeCell ref="A35:A36"/>
    <mergeCell ref="B35:B36"/>
  </mergeCells>
  <conditionalFormatting sqref="E135:E149 E104:E105 E108:E133 E16:E102 E3:E14">
    <cfRule type="expression" dxfId="34" priority="245">
      <formula>$E3="TBD"</formula>
    </cfRule>
  </conditionalFormatting>
  <conditionalFormatting sqref="D135:D149 D104:D105 D108:D133 D16:D102 D3:D14">
    <cfRule type="expression" dxfId="33" priority="241">
      <formula>$D3=4</formula>
    </cfRule>
    <cfRule type="expression" dxfId="32" priority="242">
      <formula>$D3=3</formula>
    </cfRule>
    <cfRule type="expression" dxfId="31" priority="243">
      <formula>$D3=2</formula>
    </cfRule>
    <cfRule type="expression" dxfId="30" priority="244">
      <formula>$D3=1</formula>
    </cfRule>
  </conditionalFormatting>
  <conditionalFormatting sqref="M119:BH119 M100:BH100 M55:BH55 M41:BH41">
    <cfRule type="expression" dxfId="29" priority="43">
      <formula>M$2&lt;&gt;"WREF"</formula>
    </cfRule>
  </conditionalFormatting>
  <conditionalFormatting sqref="BL104:BL149 BL3:BL102">
    <cfRule type="expression" dxfId="28" priority="38">
      <formula>BL3</formula>
    </cfRule>
  </conditionalFormatting>
  <conditionalFormatting sqref="BL103">
    <cfRule type="expression" dxfId="27" priority="31">
      <formula>BL103</formula>
    </cfRule>
  </conditionalFormatting>
  <conditionalFormatting sqref="E103">
    <cfRule type="expression" dxfId="26" priority="37">
      <formula>$E103="TBD"</formula>
    </cfRule>
  </conditionalFormatting>
  <conditionalFormatting sqref="D103">
    <cfRule type="expression" dxfId="25" priority="33">
      <formula>$D103=4</formula>
    </cfRule>
    <cfRule type="expression" dxfId="24" priority="34">
      <formula>$D103=3</formula>
    </cfRule>
    <cfRule type="expression" dxfId="23" priority="35">
      <formula>$D103=2</formula>
    </cfRule>
    <cfRule type="expression" dxfId="22" priority="36">
      <formula>$D103=1</formula>
    </cfRule>
  </conditionalFormatting>
  <conditionalFormatting sqref="E134">
    <cfRule type="expression" dxfId="21" priority="30">
      <formula>$E134="TBD"</formula>
    </cfRule>
  </conditionalFormatting>
  <conditionalFormatting sqref="D134">
    <cfRule type="expression" dxfId="20" priority="26">
      <formula>$D134=4</formula>
    </cfRule>
    <cfRule type="expression" dxfId="19" priority="27">
      <formula>$D134=3</formula>
    </cfRule>
    <cfRule type="expression" dxfId="18" priority="28">
      <formula>$D134=2</formula>
    </cfRule>
    <cfRule type="expression" dxfId="17" priority="29">
      <formula>$D134=1</formula>
    </cfRule>
  </conditionalFormatting>
  <conditionalFormatting sqref="E106:E107">
    <cfRule type="expression" dxfId="16" priority="24">
      <formula>$E106="TBD"</formula>
    </cfRule>
  </conditionalFormatting>
  <conditionalFormatting sqref="D106:D107">
    <cfRule type="expression" dxfId="15" priority="20">
      <formula>$D106=4</formula>
    </cfRule>
    <cfRule type="expression" dxfId="14" priority="21">
      <formula>$D106=3</formula>
    </cfRule>
    <cfRule type="expression" dxfId="13" priority="22">
      <formula>$D106=2</formula>
    </cfRule>
    <cfRule type="expression" dxfId="12" priority="23">
      <formula>$D106=1</formula>
    </cfRule>
  </conditionalFormatting>
  <conditionalFormatting sqref="M106:BH107">
    <cfRule type="expression" dxfId="11" priority="19">
      <formula>M$2="WREF"</formula>
    </cfRule>
  </conditionalFormatting>
  <conditionalFormatting sqref="E15">
    <cfRule type="expression" dxfId="10" priority="18">
      <formula>$E15="TBD"</formula>
    </cfRule>
  </conditionalFormatting>
  <conditionalFormatting sqref="D15">
    <cfRule type="expression" dxfId="9" priority="14">
      <formula>$D15=4</formula>
    </cfRule>
    <cfRule type="expression" dxfId="8" priority="15">
      <formula>$D15=3</formula>
    </cfRule>
    <cfRule type="expression" dxfId="7" priority="16">
      <formula>$D15=2</formula>
    </cfRule>
    <cfRule type="expression" dxfId="6" priority="17">
      <formula>$D15=1</formula>
    </cfRule>
  </conditionalFormatting>
  <pageMargins left="0.7" right="0.7" top="0.75" bottom="0.75" header="0.3" footer="0.3"/>
  <pageSetup paperSize="17" scale="28"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781" id="{DE642F51-21FE-4EB8-ABCA-B5FFA3C6E606}">
            <xm:f>VLOOKUP(M$2,'TIS Site Config'!$A$4:$C$51,3,FALSE)="Soft"</xm:f>
            <x14:dxf>
              <fill>
                <patternFill>
                  <bgColor rgb="FFFFFF00"/>
                </patternFill>
              </fill>
            </x14:dxf>
          </x14:cfRule>
          <xm:sqref>M39:BH40 M42:BH43 M46:BH47 M53:BH54 M56:BH59 M61:BH80 M82:BH86 M91:BH94 M116:BH117 M120:BH121 M123:BH123 M126:BH126 M146:BH148 M104:BH105 M4:BH10</xm:sqref>
        </x14:conditionalFormatting>
        <x14:conditionalFormatting xmlns:xm="http://schemas.microsoft.com/office/excel/2006/main">
          <x14:cfRule type="expression" priority="2797" id="{92B1D2A9-81EE-46F9-B966-8C33401260B7}">
            <xm:f>VLOOKUP(M$2,'TIS Site Config'!$A$4:$F$51,6,FALSE)&lt;&gt;"Extreme Heated"</xm:f>
            <x14:dxf>
              <fill>
                <patternFill>
                  <bgColor theme="0" tint="-0.499984740745262"/>
                </patternFill>
              </fill>
            </x14:dxf>
          </x14:cfRule>
          <xm:sqref>M84:BH86 M77:BH78 M69:BH72 M48:BH49 M44:BH45</xm:sqref>
        </x14:conditionalFormatting>
        <x14:conditionalFormatting xmlns:xm="http://schemas.microsoft.com/office/excel/2006/main">
          <x14:cfRule type="expression" priority="2802" id="{A3305BB1-7BAC-4500-B831-A0C655B9DC36}">
            <xm:f>VLOOKUP(M$2,'TIS Site Config'!$A$4:$F$51, 6, FALSE)="Extreme Heated"</xm:f>
            <x14:dxf>
              <fill>
                <patternFill>
                  <bgColor theme="0" tint="-0.499984740745262"/>
                </patternFill>
              </fill>
            </x14:dxf>
          </x14:cfRule>
          <xm:sqref>M79:BH83 M73:BH76 M61:BH68 M46:BH47 M42:BH43</xm:sqref>
        </x14:conditionalFormatting>
        <x14:conditionalFormatting xmlns:xm="http://schemas.microsoft.com/office/excel/2006/main">
          <x14:cfRule type="expression" priority="2809" id="{3C98CEC6-1C2F-4D25-8E1D-08C16D9C70FD}">
            <xm:f>VLOOKUP(M$2,'TIS Site Config'!$A$3:$AQ$51,12,FALSE)="ERROR"</xm:f>
            <x14:dxf>
              <fill>
                <patternFill>
                  <bgColor rgb="FFFFFF00"/>
                </patternFill>
              </fill>
            </x14:dxf>
          </x14:cfRule>
          <xm:sqref>M10:BH10</xm:sqref>
        </x14:conditionalFormatting>
        <x14:conditionalFormatting xmlns:xm="http://schemas.microsoft.com/office/excel/2006/main">
          <x14:cfRule type="expression" priority="3227" id="{488871BE-6FE5-4341-8B1E-B5D12A0C4EC3}">
            <xm:f>VLOOKUP(M$2,'Tubing calculator'!$A$4:$AD$51,5,FALSE)=0</xm:f>
            <x14:dxf>
              <font>
                <color theme="0"/>
              </font>
              <fill>
                <patternFill>
                  <bgColor rgb="FFFF0000"/>
                </patternFill>
              </fill>
            </x14:dxf>
          </x14:cfRule>
          <xm:sqref>M148:BH148 M126:BH126</xm:sqref>
        </x14:conditionalFormatting>
        <x14:conditionalFormatting xmlns:xm="http://schemas.microsoft.com/office/excel/2006/main">
          <x14:cfRule type="expression" priority="25" id="{33BBDD85-94CE-4F97-AE59-63D1D54088F1}">
            <xm:f>VLOOKUP(M$2,'TIS Site Config'!$A$4:$C$51,3,FALSE)="Soft"</xm:f>
            <x14:dxf>
              <fill>
                <patternFill>
                  <bgColor rgb="FFFFFF00"/>
                </patternFill>
              </fill>
            </x14:dxf>
          </x14:cfRule>
          <xm:sqref>M106:BH107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61"/>
  <sheetViews>
    <sheetView workbookViewId="0">
      <pane xSplit="1" ySplit="1" topLeftCell="B36" activePane="bottomRight" state="frozen"/>
      <selection pane="topRight" activeCell="B1" sqref="B1"/>
      <selection pane="bottomLeft" activeCell="A2" sqref="A2"/>
      <selection pane="bottomRight" activeCell="C58" sqref="C58"/>
    </sheetView>
  </sheetViews>
  <sheetFormatPr defaultRowHeight="15" x14ac:dyDescent="0.25"/>
  <cols>
    <col min="1" max="1" width="16.140625" style="972" customWidth="1"/>
    <col min="2" max="2" width="15.140625" style="1107" customWidth="1"/>
    <col min="3" max="3" width="107.28515625" style="2" customWidth="1"/>
    <col min="4" max="16384" width="9.140625" style="950"/>
  </cols>
  <sheetData>
    <row r="1" spans="1:3" ht="15.75" thickBot="1" x14ac:dyDescent="0.3">
      <c r="A1" s="876" t="s">
        <v>1043</v>
      </c>
      <c r="B1" s="1138" t="s">
        <v>1044</v>
      </c>
      <c r="C1" s="876" t="s">
        <v>1045</v>
      </c>
    </row>
    <row r="2" spans="1:3" ht="16.5" thickTop="1" thickBot="1" x14ac:dyDescent="0.3">
      <c r="A2" s="964" t="s">
        <v>939</v>
      </c>
      <c r="B2" s="1118">
        <v>42087</v>
      </c>
      <c r="C2" s="967" t="s">
        <v>940</v>
      </c>
    </row>
    <row r="3" spans="1:3" ht="16.5" thickTop="1" thickBot="1" x14ac:dyDescent="0.3">
      <c r="A3" s="1087" t="s">
        <v>1035</v>
      </c>
      <c r="B3" s="1119">
        <v>42164</v>
      </c>
      <c r="C3" s="968" t="s">
        <v>1037</v>
      </c>
    </row>
    <row r="4" spans="1:3" ht="15.75" thickTop="1" x14ac:dyDescent="0.25">
      <c r="A4" s="1332" t="s">
        <v>146</v>
      </c>
      <c r="B4" s="1120">
        <v>42195</v>
      </c>
      <c r="C4" s="969" t="s">
        <v>1046</v>
      </c>
    </row>
    <row r="5" spans="1:3" x14ac:dyDescent="0.25">
      <c r="A5" s="1333"/>
      <c r="B5" s="1121">
        <v>42195</v>
      </c>
      <c r="C5" s="968" t="s">
        <v>1047</v>
      </c>
    </row>
    <row r="6" spans="1:3" x14ac:dyDescent="0.25">
      <c r="A6" s="1333"/>
      <c r="B6" s="1122">
        <v>42198</v>
      </c>
      <c r="C6" s="970" t="s">
        <v>1048</v>
      </c>
    </row>
    <row r="7" spans="1:3" x14ac:dyDescent="0.25">
      <c r="A7" s="1333"/>
      <c r="B7" s="1122">
        <v>42202</v>
      </c>
      <c r="C7" s="970" t="s">
        <v>1049</v>
      </c>
    </row>
    <row r="8" spans="1:3" ht="30" x14ac:dyDescent="0.25">
      <c r="A8" s="1333"/>
      <c r="B8" s="1122">
        <v>42205</v>
      </c>
      <c r="C8" s="970" t="s">
        <v>1050</v>
      </c>
    </row>
    <row r="9" spans="1:3" x14ac:dyDescent="0.25">
      <c r="A9" s="1333"/>
      <c r="B9" s="1122">
        <v>42226</v>
      </c>
      <c r="C9" s="970" t="s">
        <v>1051</v>
      </c>
    </row>
    <row r="10" spans="1:3" x14ac:dyDescent="0.25">
      <c r="A10" s="1333"/>
      <c r="B10" s="1122">
        <v>42226</v>
      </c>
      <c r="C10" s="970" t="s">
        <v>1062</v>
      </c>
    </row>
    <row r="11" spans="1:3" x14ac:dyDescent="0.25">
      <c r="A11" s="1333"/>
      <c r="B11" s="1122">
        <v>42227</v>
      </c>
      <c r="C11" s="970" t="s">
        <v>1052</v>
      </c>
    </row>
    <row r="12" spans="1:3" x14ac:dyDescent="0.25">
      <c r="A12" s="1333"/>
      <c r="B12" s="1122">
        <v>42227</v>
      </c>
      <c r="C12" s="970" t="s">
        <v>1053</v>
      </c>
    </row>
    <row r="13" spans="1:3" x14ac:dyDescent="0.25">
      <c r="A13" s="1333"/>
      <c r="B13" s="1122">
        <v>42228</v>
      </c>
      <c r="C13" s="970" t="s">
        <v>1072</v>
      </c>
    </row>
    <row r="14" spans="1:3" x14ac:dyDescent="0.25">
      <c r="A14" s="1333"/>
      <c r="B14" s="1122">
        <v>42230</v>
      </c>
      <c r="C14" s="427" t="s">
        <v>1060</v>
      </c>
    </row>
    <row r="15" spans="1:3" x14ac:dyDescent="0.25">
      <c r="A15" s="1333"/>
      <c r="B15" s="1122">
        <v>42230</v>
      </c>
      <c r="C15" s="427" t="s">
        <v>1061</v>
      </c>
    </row>
    <row r="16" spans="1:3" x14ac:dyDescent="0.25">
      <c r="A16" s="1333"/>
      <c r="B16" s="1122">
        <v>42230</v>
      </c>
      <c r="C16" s="970" t="s">
        <v>1063</v>
      </c>
    </row>
    <row r="17" spans="1:3" x14ac:dyDescent="0.25">
      <c r="A17" s="1333"/>
      <c r="B17" s="1122">
        <v>42248</v>
      </c>
      <c r="C17" s="970" t="s">
        <v>1066</v>
      </c>
    </row>
    <row r="18" spans="1:3" ht="30" x14ac:dyDescent="0.25">
      <c r="A18" s="1333"/>
      <c r="B18" s="1122">
        <v>42249</v>
      </c>
      <c r="C18" s="970" t="s">
        <v>1069</v>
      </c>
    </row>
    <row r="19" spans="1:3" ht="30" x14ac:dyDescent="0.25">
      <c r="A19" s="1333"/>
      <c r="B19" s="1123">
        <v>42258</v>
      </c>
      <c r="C19" s="971" t="s">
        <v>1058</v>
      </c>
    </row>
    <row r="20" spans="1:3" ht="30" x14ac:dyDescent="0.25">
      <c r="A20" s="1333"/>
      <c r="B20" s="1123">
        <v>42258</v>
      </c>
      <c r="C20" s="971" t="s">
        <v>1059</v>
      </c>
    </row>
    <row r="21" spans="1:3" ht="30" x14ac:dyDescent="0.25">
      <c r="A21" s="1333"/>
      <c r="B21" s="1122">
        <v>42263</v>
      </c>
      <c r="C21" s="415" t="s">
        <v>1085</v>
      </c>
    </row>
    <row r="22" spans="1:3" ht="30" x14ac:dyDescent="0.25">
      <c r="A22" s="1333"/>
      <c r="B22" s="1123">
        <v>42263</v>
      </c>
      <c r="C22" s="1088" t="s">
        <v>1082</v>
      </c>
    </row>
    <row r="23" spans="1:3" x14ac:dyDescent="0.25">
      <c r="A23" s="1333"/>
      <c r="B23" s="1123">
        <v>42271</v>
      </c>
      <c r="C23" s="1088" t="s">
        <v>1086</v>
      </c>
    </row>
    <row r="24" spans="1:3" ht="30" x14ac:dyDescent="0.25">
      <c r="A24" s="1333"/>
      <c r="B24" s="1123">
        <v>42271</v>
      </c>
      <c r="C24" s="1088" t="s">
        <v>1089</v>
      </c>
    </row>
    <row r="25" spans="1:3" ht="30" x14ac:dyDescent="0.25">
      <c r="A25" s="1333"/>
      <c r="B25" s="1123">
        <v>42271</v>
      </c>
      <c r="C25" s="1088" t="s">
        <v>1094</v>
      </c>
    </row>
    <row r="26" spans="1:3" ht="75.75" thickBot="1" x14ac:dyDescent="0.3">
      <c r="A26" s="1334"/>
      <c r="B26" s="1124">
        <v>42271</v>
      </c>
      <c r="C26" s="1089" t="s">
        <v>1092</v>
      </c>
    </row>
    <row r="27" spans="1:3" ht="30.75" thickTop="1" x14ac:dyDescent="0.25">
      <c r="A27" s="1332" t="s">
        <v>147</v>
      </c>
      <c r="B27" s="1125">
        <v>42226</v>
      </c>
      <c r="C27" s="969" t="s">
        <v>1070</v>
      </c>
    </row>
    <row r="28" spans="1:3" ht="30" x14ac:dyDescent="0.25">
      <c r="A28" s="1333"/>
      <c r="B28" s="1126">
        <v>42226</v>
      </c>
      <c r="C28" s="970" t="s">
        <v>1071</v>
      </c>
    </row>
    <row r="29" spans="1:3" x14ac:dyDescent="0.25">
      <c r="A29" s="1333"/>
      <c r="B29" s="1126">
        <v>42277</v>
      </c>
      <c r="C29" s="970" t="s">
        <v>1129</v>
      </c>
    </row>
    <row r="30" spans="1:3" x14ac:dyDescent="0.25">
      <c r="A30" s="1333"/>
      <c r="B30" s="1127">
        <v>42286</v>
      </c>
      <c r="C30" s="427" t="s">
        <v>1117</v>
      </c>
    </row>
    <row r="31" spans="1:3" ht="30" x14ac:dyDescent="0.25">
      <c r="A31" s="1333"/>
      <c r="B31" s="1127">
        <v>42286</v>
      </c>
      <c r="C31" s="427" t="s">
        <v>1118</v>
      </c>
    </row>
    <row r="32" spans="1:3" ht="30" x14ac:dyDescent="0.25">
      <c r="A32" s="1333"/>
      <c r="B32" s="1123">
        <v>42317</v>
      </c>
      <c r="C32" s="971" t="s">
        <v>1125</v>
      </c>
    </row>
    <row r="33" spans="1:3" ht="30" x14ac:dyDescent="0.25">
      <c r="A33" s="1333"/>
      <c r="B33" s="1123">
        <v>42317</v>
      </c>
      <c r="C33" s="971" t="s">
        <v>1126</v>
      </c>
    </row>
    <row r="34" spans="1:3" x14ac:dyDescent="0.25">
      <c r="A34" s="1333"/>
      <c r="B34" s="1123">
        <v>42317</v>
      </c>
      <c r="C34" s="1096" t="s">
        <v>1130</v>
      </c>
    </row>
    <row r="35" spans="1:3" ht="30.75" thickBot="1" x14ac:dyDescent="0.3">
      <c r="A35" s="1334"/>
      <c r="B35" s="1128">
        <v>42327</v>
      </c>
      <c r="C35" s="1097" t="s">
        <v>1139</v>
      </c>
    </row>
    <row r="36" spans="1:3" ht="30.75" thickTop="1" x14ac:dyDescent="0.25">
      <c r="A36" s="1332" t="s">
        <v>1134</v>
      </c>
      <c r="B36" s="1125">
        <v>42353</v>
      </c>
      <c r="C36" s="969" t="s">
        <v>1147</v>
      </c>
    </row>
    <row r="37" spans="1:3" x14ac:dyDescent="0.25">
      <c r="A37" s="1333"/>
      <c r="B37" s="1126">
        <v>42353</v>
      </c>
      <c r="C37" s="970" t="s">
        <v>1150</v>
      </c>
    </row>
    <row r="38" spans="1:3" x14ac:dyDescent="0.25">
      <c r="A38" s="1333"/>
      <c r="B38" s="1126">
        <v>42367</v>
      </c>
      <c r="C38" s="970" t="s">
        <v>1146</v>
      </c>
    </row>
    <row r="39" spans="1:3" ht="30" x14ac:dyDescent="0.25">
      <c r="A39" s="1333"/>
      <c r="B39" s="1126">
        <v>42389</v>
      </c>
      <c r="C39" s="970" t="s">
        <v>1149</v>
      </c>
    </row>
    <row r="40" spans="1:3" ht="30.75" thickBot="1" x14ac:dyDescent="0.3">
      <c r="A40" s="1334"/>
      <c r="B40" s="1128">
        <v>42391</v>
      </c>
      <c r="C40" s="1098" t="s">
        <v>1148</v>
      </c>
    </row>
    <row r="41" spans="1:3" ht="16.5" thickTop="1" thickBot="1" x14ac:dyDescent="0.3">
      <c r="A41" s="1108" t="s">
        <v>1155</v>
      </c>
      <c r="B41" s="1129">
        <v>42447</v>
      </c>
      <c r="C41" s="1109" t="s">
        <v>1156</v>
      </c>
    </row>
    <row r="42" spans="1:3" ht="15.75" thickTop="1" x14ac:dyDescent="0.25">
      <c r="A42" s="1332" t="s">
        <v>1160</v>
      </c>
      <c r="B42" s="1125">
        <v>42451</v>
      </c>
      <c r="C42" s="969" t="s">
        <v>1161</v>
      </c>
    </row>
    <row r="43" spans="1:3" x14ac:dyDescent="0.25">
      <c r="A43" s="1333"/>
      <c r="B43" s="1126">
        <v>42475</v>
      </c>
      <c r="C43" s="970" t="s">
        <v>1162</v>
      </c>
    </row>
    <row r="44" spans="1:3" ht="15.75" thickBot="1" x14ac:dyDescent="0.3">
      <c r="A44" s="1334"/>
      <c r="B44" s="1128">
        <v>42481</v>
      </c>
      <c r="C44" s="1098" t="s">
        <v>1165</v>
      </c>
    </row>
    <row r="45" spans="1:3" ht="15.75" thickTop="1" x14ac:dyDescent="0.25">
      <c r="A45" s="1332" t="s">
        <v>1175</v>
      </c>
      <c r="B45" s="1125">
        <v>42576</v>
      </c>
      <c r="C45" s="969" t="s">
        <v>1177</v>
      </c>
    </row>
    <row r="46" spans="1:3" x14ac:dyDescent="0.25">
      <c r="A46" s="1333"/>
      <c r="B46" s="1126">
        <v>42615</v>
      </c>
      <c r="C46" s="970" t="s">
        <v>1178</v>
      </c>
    </row>
    <row r="47" spans="1:3" x14ac:dyDescent="0.25">
      <c r="A47" s="1333"/>
      <c r="B47" s="1126">
        <v>42633</v>
      </c>
      <c r="C47" s="970" t="s">
        <v>1183</v>
      </c>
    </row>
    <row r="48" spans="1:3" x14ac:dyDescent="0.25">
      <c r="A48" s="1333"/>
      <c r="B48" s="1126">
        <v>42633</v>
      </c>
      <c r="C48" s="970" t="s">
        <v>1184</v>
      </c>
    </row>
    <row r="49" spans="1:3" x14ac:dyDescent="0.25">
      <c r="A49" s="1333"/>
      <c r="B49" s="1126">
        <v>42634</v>
      </c>
      <c r="C49" s="970" t="s">
        <v>1185</v>
      </c>
    </row>
    <row r="50" spans="1:3" x14ac:dyDescent="0.25">
      <c r="A50" s="1333"/>
      <c r="B50" s="1126">
        <v>42648</v>
      </c>
      <c r="C50" s="1136" t="s">
        <v>1189</v>
      </c>
    </row>
    <row r="51" spans="1:3" ht="15.75" thickBot="1" x14ac:dyDescent="0.3">
      <c r="A51" s="1334"/>
      <c r="B51" s="1128">
        <v>42648</v>
      </c>
      <c r="C51" s="1098" t="s">
        <v>1190</v>
      </c>
    </row>
    <row r="52" spans="1:3" ht="15.75" thickTop="1" x14ac:dyDescent="0.25">
      <c r="A52" s="1332" t="s">
        <v>1205</v>
      </c>
      <c r="B52" s="1125">
        <v>42769</v>
      </c>
      <c r="C52" s="969" t="s">
        <v>1191</v>
      </c>
    </row>
    <row r="53" spans="1:3" x14ac:dyDescent="0.25">
      <c r="A53" s="1333"/>
      <c r="B53" s="1126">
        <v>42769</v>
      </c>
      <c r="C53" s="970" t="s">
        <v>1192</v>
      </c>
    </row>
    <row r="54" spans="1:3" x14ac:dyDescent="0.25">
      <c r="A54" s="1333"/>
      <c r="B54" s="1126">
        <v>42774</v>
      </c>
      <c r="C54" s="970" t="s">
        <v>1196</v>
      </c>
    </row>
    <row r="55" spans="1:3" x14ac:dyDescent="0.25">
      <c r="A55" s="1333"/>
      <c r="B55" s="1126">
        <v>42774</v>
      </c>
      <c r="C55" s="970" t="s">
        <v>1193</v>
      </c>
    </row>
    <row r="56" spans="1:3" x14ac:dyDescent="0.25">
      <c r="A56" s="1333"/>
      <c r="B56" s="1137">
        <v>42781</v>
      </c>
      <c r="C56" s="971" t="s">
        <v>1198</v>
      </c>
    </row>
    <row r="57" spans="1:3" x14ac:dyDescent="0.25">
      <c r="A57" s="1333"/>
      <c r="B57" s="1137">
        <v>42781</v>
      </c>
      <c r="C57" s="971" t="s">
        <v>1197</v>
      </c>
    </row>
    <row r="58" spans="1:3" x14ac:dyDescent="0.25">
      <c r="A58" s="1333"/>
      <c r="B58" s="1137">
        <v>42783</v>
      </c>
      <c r="C58" s="971" t="s">
        <v>1200</v>
      </c>
    </row>
    <row r="59" spans="1:3" ht="75" x14ac:dyDescent="0.25">
      <c r="A59" s="1333"/>
      <c r="B59" s="1137">
        <v>42789</v>
      </c>
      <c r="C59" s="971" t="s">
        <v>1201</v>
      </c>
    </row>
    <row r="60" spans="1:3" ht="75.75" thickBot="1" x14ac:dyDescent="0.3">
      <c r="A60" s="1334"/>
      <c r="B60" s="1128">
        <v>42796</v>
      </c>
      <c r="C60" s="1098" t="s">
        <v>1204</v>
      </c>
    </row>
    <row r="61" spans="1:3" ht="15.75" thickTop="1" x14ac:dyDescent="0.25"/>
  </sheetData>
  <mergeCells count="6">
    <mergeCell ref="A52:A60"/>
    <mergeCell ref="A4:A26"/>
    <mergeCell ref="A27:A35"/>
    <mergeCell ref="A36:A40"/>
    <mergeCell ref="A42:A44"/>
    <mergeCell ref="A45:A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Combined TT</vt:lpstr>
      <vt:lpstr>TIS Architecture</vt:lpstr>
      <vt:lpstr>TIS Site Config</vt:lpstr>
      <vt:lpstr>Tower configuration</vt:lpstr>
      <vt:lpstr>Tubing calculator</vt:lpstr>
      <vt:lpstr>TIS Site Demand</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 Akers</dc:creator>
  <cp:lastModifiedBy>Judy Salazar</cp:lastModifiedBy>
  <cp:lastPrinted>2014-08-25T17:13:45Z</cp:lastPrinted>
  <dcterms:created xsi:type="dcterms:W3CDTF">2013-07-15T19:24:02Z</dcterms:created>
  <dcterms:modified xsi:type="dcterms:W3CDTF">2017-04-20T18:00:10Z</dcterms:modified>
</cp:coreProperties>
</file>